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projects\transparently\stats3\excel\"/>
    </mc:Choice>
  </mc:AlternateContent>
  <xr:revisionPtr revIDLastSave="0" documentId="13_ncr:1_{F07AFA49-8CFC-4651-9A22-B38A7D04DAF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はじめに" sheetId="1" r:id="rId1"/>
    <sheet name="練習1 期待値・分散" sheetId="2" r:id="rId2"/>
    <sheet name="練習2 二項分布" sheetId="3" r:id="rId3"/>
    <sheet name="練習3 正規分布" sheetId="4" r:id="rId4"/>
    <sheet name="標準正規分布表" sheetId="7" r:id="rId5"/>
    <sheet name="正規分布シミュレーター" sheetId="5" r:id="rId6"/>
    <sheet name="二項分布シミュレーター" sheetId="6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7" i="7" l="1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" i="7"/>
  <c r="C7" i="7"/>
  <c r="D7" i="7"/>
  <c r="E7" i="7"/>
  <c r="F7" i="7"/>
  <c r="G7" i="7"/>
  <c r="H7" i="7"/>
  <c r="I7" i="7"/>
  <c r="J7" i="7"/>
  <c r="K7" i="7"/>
  <c r="L7" i="7"/>
  <c r="C8" i="7"/>
  <c r="D8" i="7"/>
  <c r="E8" i="7"/>
  <c r="F8" i="7"/>
  <c r="G8" i="7"/>
  <c r="H8" i="7"/>
  <c r="I8" i="7"/>
  <c r="J8" i="7"/>
  <c r="K8" i="7"/>
  <c r="L8" i="7"/>
  <c r="C9" i="7"/>
  <c r="D9" i="7"/>
  <c r="E9" i="7"/>
  <c r="F9" i="7"/>
  <c r="G9" i="7"/>
  <c r="H9" i="7"/>
  <c r="I9" i="7"/>
  <c r="J9" i="7"/>
  <c r="K9" i="7"/>
  <c r="L9" i="7"/>
  <c r="C10" i="7"/>
  <c r="D10" i="7"/>
  <c r="E10" i="7"/>
  <c r="F10" i="7"/>
  <c r="G10" i="7"/>
  <c r="H10" i="7"/>
  <c r="I10" i="7"/>
  <c r="J10" i="7"/>
  <c r="K10" i="7"/>
  <c r="L10" i="7"/>
  <c r="C11" i="7"/>
  <c r="D11" i="7"/>
  <c r="E11" i="7"/>
  <c r="F11" i="7"/>
  <c r="G11" i="7"/>
  <c r="H11" i="7"/>
  <c r="I11" i="7"/>
  <c r="J11" i="7"/>
  <c r="K11" i="7"/>
  <c r="L11" i="7"/>
  <c r="C12" i="7"/>
  <c r="D12" i="7"/>
  <c r="E12" i="7"/>
  <c r="F12" i="7"/>
  <c r="G12" i="7"/>
  <c r="H12" i="7"/>
  <c r="I12" i="7"/>
  <c r="J12" i="7"/>
  <c r="K12" i="7"/>
  <c r="L12" i="7"/>
  <c r="C13" i="7"/>
  <c r="D13" i="7"/>
  <c r="E13" i="7"/>
  <c r="F13" i="7"/>
  <c r="G13" i="7"/>
  <c r="H13" i="7"/>
  <c r="I13" i="7"/>
  <c r="J13" i="7"/>
  <c r="K13" i="7"/>
  <c r="L13" i="7"/>
  <c r="C14" i="7"/>
  <c r="D14" i="7"/>
  <c r="E14" i="7"/>
  <c r="F14" i="7"/>
  <c r="G14" i="7"/>
  <c r="H14" i="7"/>
  <c r="I14" i="7"/>
  <c r="J14" i="7"/>
  <c r="K14" i="7"/>
  <c r="L14" i="7"/>
  <c r="C15" i="7"/>
  <c r="D15" i="7"/>
  <c r="E15" i="7"/>
  <c r="F15" i="7"/>
  <c r="G15" i="7"/>
  <c r="H15" i="7"/>
  <c r="I15" i="7"/>
  <c r="J15" i="7"/>
  <c r="K15" i="7"/>
  <c r="L15" i="7"/>
  <c r="C16" i="7"/>
  <c r="D16" i="7"/>
  <c r="E16" i="7"/>
  <c r="F16" i="7"/>
  <c r="G16" i="7"/>
  <c r="H16" i="7"/>
  <c r="I16" i="7"/>
  <c r="J16" i="7"/>
  <c r="K16" i="7"/>
  <c r="L16" i="7"/>
  <c r="C17" i="7"/>
  <c r="D17" i="7"/>
  <c r="E17" i="7"/>
  <c r="F17" i="7"/>
  <c r="G17" i="7"/>
  <c r="H17" i="7"/>
  <c r="I17" i="7"/>
  <c r="J17" i="7"/>
  <c r="K17" i="7"/>
  <c r="L17" i="7"/>
  <c r="C18" i="7"/>
  <c r="D18" i="7"/>
  <c r="E18" i="7"/>
  <c r="F18" i="7"/>
  <c r="G18" i="7"/>
  <c r="H18" i="7"/>
  <c r="I18" i="7"/>
  <c r="J18" i="7"/>
  <c r="K18" i="7"/>
  <c r="L18" i="7"/>
  <c r="C19" i="7"/>
  <c r="D19" i="7"/>
  <c r="E19" i="7"/>
  <c r="F19" i="7"/>
  <c r="G19" i="7"/>
  <c r="H19" i="7"/>
  <c r="I19" i="7"/>
  <c r="J19" i="7"/>
  <c r="K19" i="7"/>
  <c r="L19" i="7"/>
  <c r="C20" i="7"/>
  <c r="D20" i="7"/>
  <c r="E20" i="7"/>
  <c r="F20" i="7"/>
  <c r="G20" i="7"/>
  <c r="H20" i="7"/>
  <c r="I20" i="7"/>
  <c r="J20" i="7"/>
  <c r="K20" i="7"/>
  <c r="L20" i="7"/>
  <c r="C21" i="7"/>
  <c r="D21" i="7"/>
  <c r="E21" i="7"/>
  <c r="F21" i="7"/>
  <c r="G21" i="7"/>
  <c r="H21" i="7"/>
  <c r="I21" i="7"/>
  <c r="J21" i="7"/>
  <c r="K21" i="7"/>
  <c r="L21" i="7"/>
  <c r="C22" i="7"/>
  <c r="D22" i="7"/>
  <c r="E22" i="7"/>
  <c r="F22" i="7"/>
  <c r="G22" i="7"/>
  <c r="H22" i="7"/>
  <c r="I22" i="7"/>
  <c r="J22" i="7"/>
  <c r="K22" i="7"/>
  <c r="L22" i="7"/>
  <c r="C23" i="7"/>
  <c r="D23" i="7"/>
  <c r="E23" i="7"/>
  <c r="F23" i="7"/>
  <c r="G23" i="7"/>
  <c r="H23" i="7"/>
  <c r="I23" i="7"/>
  <c r="J23" i="7"/>
  <c r="K23" i="7"/>
  <c r="L23" i="7"/>
  <c r="C24" i="7"/>
  <c r="D24" i="7"/>
  <c r="E24" i="7"/>
  <c r="F24" i="7"/>
  <c r="G24" i="7"/>
  <c r="H24" i="7"/>
  <c r="I24" i="7"/>
  <c r="J24" i="7"/>
  <c r="K24" i="7"/>
  <c r="L24" i="7"/>
  <c r="C25" i="7"/>
  <c r="D25" i="7"/>
  <c r="E25" i="7"/>
  <c r="F25" i="7"/>
  <c r="G25" i="7"/>
  <c r="H25" i="7"/>
  <c r="I25" i="7"/>
  <c r="J25" i="7"/>
  <c r="K25" i="7"/>
  <c r="L25" i="7"/>
  <c r="C26" i="7"/>
  <c r="D26" i="7"/>
  <c r="E26" i="7"/>
  <c r="F26" i="7"/>
  <c r="G26" i="7"/>
  <c r="H26" i="7"/>
  <c r="I26" i="7"/>
  <c r="J26" i="7"/>
  <c r="K26" i="7"/>
  <c r="L26" i="7"/>
  <c r="C27" i="7"/>
  <c r="D27" i="7"/>
  <c r="E27" i="7"/>
  <c r="F27" i="7"/>
  <c r="G27" i="7"/>
  <c r="H27" i="7"/>
  <c r="I27" i="7"/>
  <c r="J27" i="7"/>
  <c r="K27" i="7"/>
  <c r="L27" i="7"/>
  <c r="C28" i="7"/>
  <c r="D28" i="7"/>
  <c r="E28" i="7"/>
  <c r="F28" i="7"/>
  <c r="G28" i="7"/>
  <c r="H28" i="7"/>
  <c r="I28" i="7"/>
  <c r="J28" i="7"/>
  <c r="K28" i="7"/>
  <c r="L28" i="7"/>
  <c r="C29" i="7"/>
  <c r="D29" i="7"/>
  <c r="E29" i="7"/>
  <c r="F29" i="7"/>
  <c r="G29" i="7"/>
  <c r="H29" i="7"/>
  <c r="I29" i="7"/>
  <c r="J29" i="7"/>
  <c r="K29" i="7"/>
  <c r="L29" i="7"/>
  <c r="C30" i="7"/>
  <c r="D30" i="7"/>
  <c r="E30" i="7"/>
  <c r="F30" i="7"/>
  <c r="G30" i="7"/>
  <c r="H30" i="7"/>
  <c r="I30" i="7"/>
  <c r="J30" i="7"/>
  <c r="K30" i="7"/>
  <c r="L30" i="7"/>
  <c r="C31" i="7"/>
  <c r="D31" i="7"/>
  <c r="E31" i="7"/>
  <c r="F31" i="7"/>
  <c r="G31" i="7"/>
  <c r="H31" i="7"/>
  <c r="I31" i="7"/>
  <c r="J31" i="7"/>
  <c r="K31" i="7"/>
  <c r="L31" i="7"/>
  <c r="C32" i="7"/>
  <c r="D32" i="7"/>
  <c r="E32" i="7"/>
  <c r="F32" i="7"/>
  <c r="G32" i="7"/>
  <c r="H32" i="7"/>
  <c r="I32" i="7"/>
  <c r="J32" i="7"/>
  <c r="K32" i="7"/>
  <c r="L32" i="7"/>
  <c r="C33" i="7"/>
  <c r="D33" i="7"/>
  <c r="E33" i="7"/>
  <c r="F33" i="7"/>
  <c r="G33" i="7"/>
  <c r="H33" i="7"/>
  <c r="I33" i="7"/>
  <c r="J33" i="7"/>
  <c r="K33" i="7"/>
  <c r="L33" i="7"/>
  <c r="C34" i="7"/>
  <c r="D34" i="7"/>
  <c r="E34" i="7"/>
  <c r="F34" i="7"/>
  <c r="G34" i="7"/>
  <c r="H34" i="7"/>
  <c r="I34" i="7"/>
  <c r="J34" i="7"/>
  <c r="K34" i="7"/>
  <c r="L34" i="7"/>
  <c r="C35" i="7"/>
  <c r="D35" i="7"/>
  <c r="E35" i="7"/>
  <c r="F35" i="7"/>
  <c r="G35" i="7"/>
  <c r="H35" i="7"/>
  <c r="I35" i="7"/>
  <c r="J35" i="7"/>
  <c r="K35" i="7"/>
  <c r="L35" i="7"/>
  <c r="C36" i="7"/>
  <c r="D36" i="7"/>
  <c r="E36" i="7"/>
  <c r="F36" i="7"/>
  <c r="G36" i="7"/>
  <c r="H36" i="7"/>
  <c r="I36" i="7"/>
  <c r="J36" i="7"/>
  <c r="K36" i="7"/>
  <c r="L36" i="7"/>
  <c r="D6" i="7"/>
  <c r="E6" i="7"/>
  <c r="F6" i="7"/>
  <c r="G6" i="7"/>
  <c r="H6" i="7"/>
  <c r="I6" i="7"/>
  <c r="J6" i="7"/>
  <c r="K6" i="7"/>
  <c r="L6" i="7"/>
  <c r="C6" i="7"/>
  <c r="D47" i="6"/>
  <c r="C47" i="6"/>
  <c r="B47" i="6"/>
  <c r="D46" i="6"/>
  <c r="C46" i="6"/>
  <c r="B46" i="6"/>
  <c r="D45" i="6"/>
  <c r="C45" i="6"/>
  <c r="B45" i="6"/>
  <c r="D44" i="6"/>
  <c r="C44" i="6"/>
  <c r="B44" i="6"/>
  <c r="D43" i="6"/>
  <c r="C43" i="6"/>
  <c r="B43" i="6"/>
  <c r="D42" i="6"/>
  <c r="C42" i="6"/>
  <c r="B42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D36" i="6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D13" i="6"/>
  <c r="D12" i="6"/>
  <c r="D11" i="6"/>
  <c r="D20" i="5"/>
  <c r="C20" i="5"/>
  <c r="D19" i="5"/>
  <c r="C19" i="5"/>
  <c r="D18" i="5"/>
  <c r="C18" i="5"/>
  <c r="D14" i="5"/>
  <c r="C14" i="5"/>
  <c r="D13" i="5"/>
  <c r="C13" i="5"/>
  <c r="D12" i="5"/>
  <c r="C12" i="5"/>
  <c r="D41" i="4"/>
  <c r="D40" i="4"/>
  <c r="D39" i="4"/>
  <c r="D38" i="4"/>
  <c r="D37" i="4"/>
  <c r="D29" i="4"/>
  <c r="D28" i="4"/>
  <c r="D27" i="4"/>
  <c r="D19" i="4"/>
  <c r="D18" i="4"/>
  <c r="D17" i="4"/>
  <c r="D11" i="4"/>
  <c r="D10" i="4"/>
  <c r="D9" i="4"/>
  <c r="E35" i="3"/>
  <c r="E34" i="3"/>
  <c r="E33" i="3"/>
  <c r="E25" i="3"/>
  <c r="D25" i="3"/>
  <c r="E24" i="3"/>
  <c r="D24" i="3"/>
  <c r="E18" i="3"/>
  <c r="E17" i="3"/>
  <c r="F11" i="3"/>
  <c r="F10" i="3"/>
  <c r="F9" i="3"/>
  <c r="E65" i="2"/>
  <c r="E64" i="2"/>
  <c r="F56" i="2"/>
  <c r="F55" i="2"/>
  <c r="F54" i="2"/>
  <c r="F44" i="2"/>
  <c r="E42" i="2"/>
  <c r="D42" i="2"/>
  <c r="E41" i="2"/>
  <c r="D41" i="2"/>
  <c r="E40" i="2"/>
  <c r="D40" i="2"/>
  <c r="E39" i="2"/>
  <c r="D39" i="2"/>
  <c r="E38" i="2"/>
  <c r="D38" i="2"/>
  <c r="E37" i="2"/>
  <c r="D37" i="2"/>
  <c r="D29" i="2"/>
  <c r="E28" i="2"/>
  <c r="E27" i="2"/>
  <c r="E26" i="2"/>
  <c r="E25" i="2"/>
  <c r="E24" i="2"/>
  <c r="E23" i="2"/>
  <c r="D14" i="2"/>
  <c r="E14" i="2" s="1"/>
  <c r="D13" i="2"/>
  <c r="E13" i="2" s="1"/>
  <c r="D12" i="2"/>
  <c r="E12" i="2" s="1"/>
  <c r="D11" i="2"/>
  <c r="E11" i="2" s="1"/>
  <c r="D10" i="2"/>
  <c r="E10" i="2" s="1"/>
  <c r="D9" i="2"/>
  <c r="E39" i="4"/>
  <c r="E38" i="4"/>
  <c r="E37" i="4"/>
  <c r="E18" i="4"/>
  <c r="E9" i="4"/>
  <c r="E19" i="4"/>
  <c r="E11" i="4"/>
  <c r="E17" i="4"/>
  <c r="E10" i="4"/>
  <c r="E29" i="2" l="1"/>
  <c r="F42" i="2"/>
  <c r="F40" i="2"/>
  <c r="F38" i="2"/>
  <c r="F41" i="2"/>
  <c r="F39" i="2"/>
  <c r="F37" i="2"/>
  <c r="E9" i="2"/>
  <c r="D15" i="2"/>
  <c r="E15" i="2"/>
  <c r="F43" i="2" l="1"/>
  <c r="F45" i="2" s="1"/>
  <c r="F46" i="2" s="1"/>
</calcChain>
</file>

<file path=xl/sharedStrings.xml><?xml version="1.0" encoding="utf-8"?>
<sst xmlns="http://schemas.openxmlformats.org/spreadsheetml/2006/main" count="297" uniqueCount="220">
  <si>
    <t>本ファイルの内容</t>
  </si>
  <si>
    <t>正規分布シミュレーター</t>
  </si>
  <si>
    <t>二項分布シミュレーター</t>
  </si>
  <si>
    <t>標準正規分布表</t>
  </si>
  <si>
    <t>使い方</t>
  </si>
  <si>
    <t>シミュレーターシート：黄色のセルに数値を入力すると、結果が自動計算されます。</t>
  </si>
  <si>
    <t>https://www.transparently.jp/stats3/</t>
  </si>
  <si>
    <t>サイコロの期待値</t>
  </si>
  <si>
    <t>解答</t>
  </si>
  <si>
    <t>X</t>
  </si>
  <si>
    <t>P(X=x)</t>
  </si>
  <si>
    <t>X×P</t>
  </si>
  <si>
    <t>合計</t>
  </si>
  <si>
    <t>偏ったサイコロの期待値</t>
  </si>
  <si>
    <t>サイコロの分散と標準偏差</t>
  </si>
  <si>
    <t>X²</t>
  </si>
  <si>
    <t>X²×P</t>
  </si>
  <si>
    <t>E(X²)</t>
  </si>
  <si>
    <t>(E(X))²</t>
  </si>
  <si>
    <t>V(X)</t>
  </si>
  <si>
    <t>σ(X)</t>
  </si>
  <si>
    <t>項目</t>
  </si>
  <si>
    <t>公式</t>
  </si>
  <si>
    <t>計算</t>
  </si>
  <si>
    <t>結果</t>
  </si>
  <si>
    <t>E(Y)</t>
  </si>
  <si>
    <t>aE(X)+b</t>
  </si>
  <si>
    <t>2×50+30</t>
  </si>
  <si>
    <t>V(Y)</t>
  </si>
  <si>
    <t>a²V(X)</t>
  </si>
  <si>
    <t>2²×100</t>
  </si>
  <si>
    <t>σ(Y)</t>
  </si>
  <si>
    <t>|a|σ(X)</t>
  </si>
  <si>
    <t>2×10</t>
  </si>
  <si>
    <t>3²×25</t>
  </si>
  <si>
    <t>|3|×5</t>
  </si>
  <si>
    <t>E(X)</t>
  </si>
  <si>
    <t>np</t>
  </si>
  <si>
    <t>10×0.5</t>
  </si>
  <si>
    <t>np(1-p)</t>
  </si>
  <si>
    <t>10×0.5×0.5</t>
  </si>
  <si>
    <t>√(np(1-p))</t>
  </si>
  <si>
    <t>√2.5</t>
  </si>
  <si>
    <t>20×(1/6)</t>
  </si>
  <si>
    <t>20×(1/6)×(5/6)</t>
  </si>
  <si>
    <t>求める確率</t>
  </si>
  <si>
    <t>P(X=5)</t>
  </si>
  <si>
    <t>P(X≤5)</t>
  </si>
  <si>
    <t>100×0.03</t>
  </si>
  <si>
    <t>100×0.03×0.97</t>
  </si>
  <si>
    <t>√V(X)</t>
  </si>
  <si>
    <t>標準正規分布の累積確率</t>
  </si>
  <si>
    <t>P(Z≤1.5)</t>
  </si>
  <si>
    <t>P(Z≤-1)</t>
  </si>
  <si>
    <t>P(Z≥2)</t>
  </si>
  <si>
    <t>範囲</t>
  </si>
  <si>
    <t>P(-1≤Z≤1)</t>
  </si>
  <si>
    <t>P(-2≤Z≤2)</t>
  </si>
  <si>
    <t>P(-3≤Z≤3)</t>
  </si>
  <si>
    <t>ステップ</t>
  </si>
  <si>
    <t>P(Z≥1)</t>
  </si>
  <si>
    <t>二項分布の正規近似</t>
  </si>
  <si>
    <t>μ = np</t>
  </si>
  <si>
    <t>σ = √(np(1-p))</t>
  </si>
  <si>
    <t>正規近似の結果</t>
  </si>
  <si>
    <t>参考</t>
  </si>
  <si>
    <t>自動計算される確率</t>
  </si>
  <si>
    <t>P(X≤x)</t>
  </si>
  <si>
    <t>P(X≥x)</t>
  </si>
  <si>
    <t>μ-σ ≤ X ≤ μ+σ</t>
  </si>
  <si>
    <t>μ-2σ ≤ X ≤ μ+2σ</t>
  </si>
  <si>
    <t>μ-3σ ≤ X ≤ μ+3σ</t>
  </si>
  <si>
    <t>読み取れること</t>
  </si>
  <si>
    <t>テストの偏差値、品質管理、市場予測など、あらゆる場面で使える</t>
  </si>
  <si>
    <t>期待値・分散・標準偏差</t>
  </si>
  <si>
    <t>k</t>
  </si>
  <si>
    <t>P(X=k)</t>
  </si>
  <si>
    <t>業務応用：不良品検査、当選確率、合格者数の予測など</t>
  </si>
  <si>
    <t>z</t>
  </si>
  <si>
    <t>0.00</t>
  </si>
  <si>
    <t>0.01</t>
  </si>
  <si>
    <t>0.02</t>
  </si>
  <si>
    <t>0.03</t>
  </si>
  <si>
    <t>0.04</t>
  </si>
  <si>
    <t>0.05</t>
  </si>
  <si>
    <t>0.06</t>
  </si>
  <si>
    <t>0.07</t>
  </si>
  <si>
    <t>0.08</t>
  </si>
  <si>
    <t>0.09</t>
  </si>
  <si>
    <t>0.0</t>
  </si>
  <si>
    <t>0.1</t>
  </si>
  <si>
    <t>0.2</t>
  </si>
  <si>
    <t>0.3</t>
  </si>
  <si>
    <t>0.4</t>
  </si>
  <si>
    <t>0.5</t>
  </si>
  <si>
    <t>0.6</t>
  </si>
  <si>
    <t>0.7</t>
  </si>
  <si>
    <t>0.8</t>
  </si>
  <si>
    <t>0.9</t>
  </si>
  <si>
    <t>1.0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</si>
  <si>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</si>
  <si>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</si>
  <si>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</si>
  <si>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</si>
  <si>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</si>
  <si>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</si>
  <si>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</si>
  <si>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</si>
  <si>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</si>
  <si>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</si>
  <si>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</si>
  <si>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</si>
  <si>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</si>
  <si>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</si>
  <si>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</si>
  <si>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</si>
  <si>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</si>
  <si>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</si>
  <si>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</si>
  <si>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3.0</t>
  </si>
  <si>
    <t>統計検定3級 学習講座 Chapter 7</t>
  </si>
  <si>
    <t>練習1 期待値・分散</t>
  </si>
  <si>
    <t>確率変数の期待値・分散の問題(5問)</t>
  </si>
  <si>
    <t>練習2 二項分布</t>
  </si>
  <si>
    <t>二項分布の確率・期待値の問題(4問)</t>
  </si>
  <si>
    <t>練習3 正規分布の確率</t>
  </si>
  <si>
    <t>標準化と確率計算の問題(4問)</t>
  </si>
  <si>
    <t>μ・σを入力 → 確率を自動計算</t>
  </si>
  <si>
    <t>n・pを入力 → 確率分布表を自動生成</t>
  </si>
  <si>
    <t>Excel関数で自動計算する分布表</t>
  </si>
  <si>
    <t>練習問題シート：問題を読んで、自分で計算してから解答セル(赤背景)を見てください。</t>
  </si>
  <si>
    <t>Excel関数：NORM.S.DIST(z, TRUE) で標準正規分布の累積確率が求められます。</t>
  </si>
  <si>
    <t>© Transparently / 榊 裕次郎</t>
  </si>
  <si>
    <t>標準正規分布表 - P(0 ≤ Z ≤ z)</t>
  </si>
  <si>
    <t>Excel関数で自動計算した分布表(参考用)</t>
  </si>
  <si>
    <t>この表は P(0 ≤ Z ≤ z) の値です。Z は標準正規分布(平均0、分散1)に従う確率変数。</t>
  </si>
  <si>
    <t>例：z=1.5 を探したいときは、行「1.5」と列「0.00」が交わるセル → 0.4332</t>
  </si>
  <si>
    <t>例：z=1.96 を探したいときは、行「1.9」と列「0.06」 → 0.4750</t>
  </si>
  <si>
    <t>P(Z≤z) を求めるには 0.5 を加える。例：P(Z≤1.5) = 0.5+0.4332 = 0.9332</t>
  </si>
  <si>
    <t>P(Z≥z) を求めるには 0.5 から引く。例：P(Z≥1.5) = 0.5-0.4332 = 0.0668</t>
  </si>
  <si>
    <t>実機Excelで開けば、ExcelのNORM.S.DIST関数で値が再計算されます。</t>
  </si>
  <si>
    <t>n・pを入力 → 確率分布が自動表示</t>
  </si>
  <si>
    <t>入力(黄色セル)</t>
  </si>
  <si>
    <t>試行回数 n</t>
  </si>
  <si>
    <t>例：10(コインを10回投げる)</t>
  </si>
  <si>
    <t>成功確率 p</t>
  </si>
  <si>
    <t>例：0.5(コイン)、0.1667(サイコロの6)</t>
  </si>
  <si>
    <t>期待値 E(X)</t>
  </si>
  <si>
    <t>分散 V(X)</t>
  </si>
  <si>
    <t>標準偏差 σ(X)</t>
  </si>
  <si>
    <t>確率分布表(P(X=k))</t>
  </si>
  <si>
    <t>P(X≤k) 累積</t>
  </si>
  <si>
    <t>n=10, p=0.5(コイン10回)：表が5回出る確率が最大(約0.246)</t>
  </si>
  <si>
    <t>n・pを変えると、確率分布が瞬時に再計算される</t>
  </si>
  <si>
    <t>nを30まで増やすと、二項分布が正規分布に近い形になるのが分かる</t>
  </si>
  <si>
    <t>μ・σを入力すると、確率が自動計算されます</t>
  </si>
  <si>
    <t>平均 μ</t>
  </si>
  <si>
    <t>例：170(身長cm)</t>
  </si>
  <si>
    <t>標準偏差 σ</t>
  </si>
  <si>
    <t>例：6(身長の標準偏差cm)</t>
  </si>
  <si>
    <t>知りたい値 x</t>
  </si>
  <si>
    <t>例：176cm</t>
  </si>
  <si>
    <t>Excel式</t>
  </si>
  <si>
    <t>標準化Z</t>
  </si>
  <si>
    <t>μ±σ等の範囲確率(68-95-99.7ルール)</t>
  </si>
  <si>
    <t>範囲(計算)</t>
  </si>
  <si>
    <t>P(範囲内)</t>
  </si>
  <si>
    <t>デフォルト値：身長N(170,36)で身長176cm以上の確率は約16%</t>
  </si>
  <si>
    <t>μ±σ範囲は約68%、μ±2σ範囲は約95%、μ±3σ範囲は約99.7%</t>
  </si>
  <si>
    <t>μ・σ・xの値を変えると、結果が瞬時に再計算される</t>
  </si>
  <si>
    <t>練習3 正規分布の確率計算</t>
  </si>
  <si>
    <t>標準化と確率計算の問題4問。NORM.S.DIST関数を使います</t>
  </si>
  <si>
    <t>問題 1</t>
  </si>
  <si>
    <t>標準正規分布で、次の確率をNORM.S.DIST関数で求めてください。P(Z≤1.5)、P(Z≤-1)、P(Z≥2)。</t>
  </si>
  <si>
    <t>問題 2</t>
  </si>
  <si>
    <t>68-95-99.7ルールを確認</t>
  </si>
  <si>
    <t>標準正規分布で P(-1≤Z≤1)、P(-2≤Z≤2)、P(-3≤Z≤3) を求めて、68-95-99.7ルールが正しいことを確認してください。</t>
  </si>
  <si>
    <t>0.6827, 0.9545, 0.9973 → 68%, 95%, 99.7%！</t>
  </si>
  <si>
    <t>問題 3</t>
  </si>
  <si>
    <t>身長の問題 - 標準化</t>
  </si>
  <si>
    <t>日本人男性の身長が N(170, 36)、つまり平均170cm・標準偏差6cmに従います。身長176cm以上の人の割合を求めてください。</t>
  </si>
  <si>
    <t>標準化 Z</t>
  </si>
  <si>
    <t>(別解) NORM.DIST</t>
  </si>
  <si>
    <t>身長176cm以上は約16%。LサイズTシャツが必要な人の割合と一致</t>
  </si>
  <si>
    <t>問題 4</t>
  </si>
  <si>
    <t>コインを100回投げて表が60回以上出る確率を、正規近似で求めてください。B(100, 0.5) を N(50, 25) で近似します。</t>
  </si>
  <si>
    <t>正確値(BINOM.DIST)</t>
  </si>
  <si>
    <t>近似:0.0228、正確値:0.0284 - 誤差は約0.005で精度は良好</t>
  </si>
  <si>
    <t>二項分布の確率・期待値・分散の問題4問</t>
  </si>
  <si>
    <t>B(10, 0.5)の期待値・分散</t>
  </si>
  <si>
    <t>コインを10回投げるとき、表が出る回数Xが B(10, 0.5) に従います。Xの期待値・分散・標準偏差を求めてください。</t>
  </si>
  <si>
    <t>B(20, 1/6)の期待値・分散</t>
  </si>
  <si>
    <t>サイコロを20回振るとき、6が出る回数Xが B(20, 1/6) に従います。Xの期待値・分散を求めてください。</t>
  </si>
  <si>
    <t>BINOM.DIST関数で確率を求める</t>
  </si>
  <si>
    <t>コインを10回投げるとき、表がちょうど5回出る確率を求めてください。ExcelのBINOM.DIST関数を使います。</t>
  </si>
  <si>
    <t>第4引数：FALSE=その値ちょうどの確率、TRUE=その値以下の累積確率</t>
  </si>
  <si>
    <t>実用問題 - 不良品検査</t>
  </si>
  <si>
    <t>不良率3%の製品から100個を検査するとき、不良品が出る回数Xの 期待値・標準偏差を求めてください。</t>
  </si>
  <si>
    <t>平均3個、標準偏差約1.7個の不良品が出る見込み</t>
  </si>
  <si>
    <t>練習1 期待値・分散・標準偏差</t>
  </si>
  <si>
    <t>確率変数の期待値・分散・aX+bの性質に関する5問</t>
  </si>
  <si>
    <t>公平なサイコロを1回振るときの出た目を確率変数Xとします。Xの期待値E(X)を求めてください。</t>
  </si>
  <si>
    <t>期待値 E(X) = 3.5</t>
  </si>
  <si>
    <t>1の目が出る確率が1/2、それ以外は1/10ずつのサイコロがあります。出た目の期待値E(X)を求めてください。</t>
  </si>
  <si>
    <t>期待値 E(X) = 2.5。1が出やすいので重心が左に寄る</t>
  </si>
  <si>
    <t>公平なサイコロの分散V(X)と標準偏差σ(X)を求めてください。便利公式 V(X) = E(X²) - (E(X))² を使います。</t>
  </si>
  <si>
    <t>V(X) ≒ 2.92、σ(X) ≒ 1.71。期待値3.5から平均的に±1.71くらいズレる</t>
  </si>
  <si>
    <t>aX+bの期待値・分散</t>
  </si>
  <si>
    <t>確率変数Xが E(X)=50, V(X)=100, σ(X)=10 のとき、Y=2X+30 の 期待値・分散・標準偏差を求めてください。</t>
  </si>
  <si>
    <t>bは分散・標準偏差に影響しない。aは標準偏差で|a|倍、分散でa²倍</t>
  </si>
  <si>
    <t>問題 5</t>
  </si>
  <si>
    <t>試験形式 - aX+bの問題</t>
  </si>
  <si>
    <t>確率変数Xの標準偏差が5、分散が25。Y=3X-7のとき、Yの標準偏差と分散を求めてください。</t>
  </si>
  <si>
    <t>V(Y)=225, σ(Y)=15。-7は無視、aは|a|=3倍</t>
  </si>
  <si>
    <t>第7章 確率変数と確率分布 - Excel補助資料</t>
    <rPh sb="21" eb="25">
      <t>ホジョシリョウ</t>
    </rPh>
    <phoneticPr fontId="11"/>
  </si>
  <si>
    <t xml:space="preserve"> 期待値3.5の2乗</t>
    <rPh sb="1" eb="4">
      <t>キタイチ</t>
    </rPh>
    <rPh sb="9" eb="10">
      <t>ジョウ</t>
    </rPh>
    <phoneticPr fontId="11"/>
  </si>
  <si>
    <t xml:space="preserve"> それぞれの目のスコアの2乗×確率の合計値</t>
    <rPh sb="6" eb="7">
      <t>メ</t>
    </rPh>
    <rPh sb="13" eb="14">
      <t>ジョウ</t>
    </rPh>
    <rPh sb="15" eb="17">
      <t>カクリツ</t>
    </rPh>
    <rPh sb="18" eb="21">
      <t>ゴウケイチ</t>
    </rPh>
    <phoneticPr fontId="11"/>
  </si>
  <si>
    <t xml:space="preserve"> 分散</t>
    <rPh sb="1" eb="3">
      <t>ブンサン</t>
    </rPh>
    <phoneticPr fontId="11"/>
  </si>
  <si>
    <t xml:space="preserve"> 標準偏差</t>
    <rPh sb="1" eb="5">
      <t>ヒョウジュンヘンサ</t>
    </rPh>
    <phoneticPr fontId="11"/>
  </si>
  <si>
    <t>グラフ用</t>
    <rPh sb="3" eb="4">
      <t>ヨウ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</si>
</sst>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#,##0.0;[Red]\-#,##0.0"/>
    <numFmt numFmtId="178" formatCode="#,##0.000;[Red]\-#,##0.000"/>
  </numFmts>
  <fonts count="16" x14ac:knownFonts="1">
    <font>
      <sz val="11"/>
      <color theme="1"/>
      <name val="Calibri"/>
      <family val="2"/>
      <charset val="1"/>
    </font>
    <font>
      <b/>
      <sz val="18"/>
      <color rgb="FF2D5E3F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6"/>
      <color rgb="FF2D5E3F"/>
      <name val="メイリオ"/>
      <family val="3"/>
      <charset val="128"/>
    </font>
    <font>
      <b/>
      <sz val="11"/>
      <color rgb="FF2D5E3F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2"/>
      <color rgb="FFC0392B"/>
      <name val="メイリオ"/>
      <family val="3"/>
      <charset val="128"/>
    </font>
    <font>
      <b/>
      <sz val="12"/>
      <color rgb="FF0000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rgb="FF2D5E3F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Calibri"/>
      <family val="2"/>
      <charset val="1"/>
    </font>
    <font>
      <sz val="10"/>
      <color rgb="FF6B6B6B"/>
      <name val="メイリオ"/>
      <family val="3"/>
      <charset val="128"/>
    </font>
    <font>
      <sz val="10"/>
      <color rgb="FF2D5E3F"/>
      <name val="メイリオ"/>
      <family val="3"/>
      <charset val="128"/>
    </font>
    <font>
      <sz val="10"/>
      <color rgb="FF4A4A4A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8F4EC"/>
        <bgColor rgb="FFFFF9E6"/>
      </patternFill>
    </fill>
    <fill>
      <patternFill patternType="solid">
        <fgColor rgb="FF2D5E3F"/>
        <bgColor rgb="FF4A4A4A"/>
      </patternFill>
    </fill>
    <fill>
      <patternFill patternType="solid">
        <fgColor rgb="FFFFEEE6"/>
        <bgColor rgb="FFFFF9E6"/>
      </patternFill>
    </fill>
    <fill>
      <patternFill patternType="solid">
        <fgColor rgb="FFFFF9E6"/>
        <bgColor rgb="FFFFEEE6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1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3" fillId="0" borderId="2" xfId="1" applyNumberFormat="1" applyFont="1" applyBorder="1" applyAlignment="1">
      <alignment horizontal="center" vertical="center"/>
    </xf>
    <xf numFmtId="178" fontId="7" fillId="4" borderId="2" xfId="1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6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2" fontId="8" fillId="5" borderId="2" xfId="0" applyNumberFormat="1" applyFont="1" applyFill="1" applyBorder="1" applyAlignment="1">
      <alignment horizontal="center" vertical="center"/>
    </xf>
    <xf numFmtId="177" fontId="7" fillId="4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0" fontId="7" fillId="4" borderId="2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E6"/>
      <rgbColor rgb="FFE8F4E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EE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2D5E3F"/>
      <rgbColor rgb="FFC0392B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標準正規分布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標準正規分布表!$O$5</c:f>
              <c:strCache>
                <c:ptCount val="1"/>
                <c:pt idx="0">
                  <c:v>グラフ用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標準正規分布表!$N$6:$N$66</c:f>
              <c:numCache>
                <c:formatCode>General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-2.7</c:v>
                </c:pt>
                <c:pt idx="4">
                  <c:v>-2.6</c:v>
                </c:pt>
                <c:pt idx="5">
                  <c:v>-2.5</c:v>
                </c:pt>
                <c:pt idx="6">
                  <c:v>-2.4</c:v>
                </c:pt>
                <c:pt idx="7">
                  <c:v>-2.2999999999999998</c:v>
                </c:pt>
                <c:pt idx="8">
                  <c:v>-2.2000000000000002</c:v>
                </c:pt>
                <c:pt idx="9">
                  <c:v>-2.1</c:v>
                </c:pt>
                <c:pt idx="10">
                  <c:v>-2</c:v>
                </c:pt>
                <c:pt idx="11">
                  <c:v>-1.9</c:v>
                </c:pt>
                <c:pt idx="12">
                  <c:v>-1.8</c:v>
                </c:pt>
                <c:pt idx="13">
                  <c:v>-1.7</c:v>
                </c:pt>
                <c:pt idx="14">
                  <c:v>-1.6</c:v>
                </c:pt>
                <c:pt idx="15">
                  <c:v>-1.5</c:v>
                </c:pt>
                <c:pt idx="16">
                  <c:v>-1.4</c:v>
                </c:pt>
                <c:pt idx="17">
                  <c:v>-1.3</c:v>
                </c:pt>
                <c:pt idx="18">
                  <c:v>-1.2</c:v>
                </c:pt>
                <c:pt idx="19">
                  <c:v>-1.1000000000000001</c:v>
                </c:pt>
                <c:pt idx="20">
                  <c:v>-1</c:v>
                </c:pt>
                <c:pt idx="21">
                  <c:v>-0.9</c:v>
                </c:pt>
                <c:pt idx="22">
                  <c:v>-0.8</c:v>
                </c:pt>
                <c:pt idx="23">
                  <c:v>-0.7</c:v>
                </c:pt>
                <c:pt idx="24">
                  <c:v>-0.6</c:v>
                </c:pt>
                <c:pt idx="25">
                  <c:v>-0.5</c:v>
                </c:pt>
                <c:pt idx="26">
                  <c:v>-0.4</c:v>
                </c:pt>
                <c:pt idx="27">
                  <c:v>-0.3</c:v>
                </c:pt>
                <c:pt idx="28">
                  <c:v>-0.2</c:v>
                </c:pt>
                <c:pt idx="29">
                  <c:v>-0.1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0.8</c:v>
                </c:pt>
                <c:pt idx="39">
                  <c:v>0.9</c:v>
                </c:pt>
                <c:pt idx="40">
                  <c:v>1</c:v>
                </c:pt>
                <c:pt idx="41">
                  <c:v>1.1000000000000001</c:v>
                </c:pt>
                <c:pt idx="42">
                  <c:v>1.2</c:v>
                </c:pt>
                <c:pt idx="43">
                  <c:v>1.3</c:v>
                </c:pt>
                <c:pt idx="44">
                  <c:v>1.4</c:v>
                </c:pt>
                <c:pt idx="45">
                  <c:v>1.5</c:v>
                </c:pt>
                <c:pt idx="46">
                  <c:v>1.6</c:v>
                </c:pt>
                <c:pt idx="47">
                  <c:v>1.7</c:v>
                </c:pt>
                <c:pt idx="48">
                  <c:v>1.8</c:v>
                </c:pt>
                <c:pt idx="49">
                  <c:v>1.9</c:v>
                </c:pt>
                <c:pt idx="50">
                  <c:v>2</c:v>
                </c:pt>
                <c:pt idx="51">
                  <c:v>2.1</c:v>
                </c:pt>
                <c:pt idx="52">
                  <c:v>2.2000000000000002</c:v>
                </c:pt>
                <c:pt idx="53">
                  <c:v>2.2999999999999998</c:v>
                </c:pt>
                <c:pt idx="54">
                  <c:v>2.4</c:v>
                </c:pt>
                <c:pt idx="55">
                  <c:v>2.5000000000000102</c:v>
                </c:pt>
                <c:pt idx="56">
                  <c:v>2.6</c:v>
                </c:pt>
                <c:pt idx="57">
                  <c:v>2.7</c:v>
                </c:pt>
                <c:pt idx="58">
                  <c:v>2.80000000000001</c:v>
                </c:pt>
                <c:pt idx="59">
                  <c:v>2.9000000000000101</c:v>
                </c:pt>
                <c:pt idx="60">
                  <c:v>3.0000000000000102</c:v>
                </c:pt>
              </c:numCache>
            </c:numRef>
          </c:cat>
          <c:val>
            <c:numRef>
              <c:f>標準正規分布表!$O$6:$O$66</c:f>
              <c:numCache>
                <c:formatCode>0.0000</c:formatCode>
                <c:ptCount val="61"/>
                <c:pt idx="0">
                  <c:v>4.4318484119380075E-3</c:v>
                </c:pt>
                <c:pt idx="1">
                  <c:v>5.9525324197758538E-3</c:v>
                </c:pt>
                <c:pt idx="2">
                  <c:v>7.9154515829799686E-3</c:v>
                </c:pt>
                <c:pt idx="3">
                  <c:v>1.0420934814422592E-2</c:v>
                </c:pt>
                <c:pt idx="4">
                  <c:v>1.3582969233685613E-2</c:v>
                </c:pt>
                <c:pt idx="5">
                  <c:v>1.752830049356854E-2</c:v>
                </c:pt>
                <c:pt idx="6">
                  <c:v>2.2394530294842899E-2</c:v>
                </c:pt>
                <c:pt idx="7">
                  <c:v>2.8327037741601186E-2</c:v>
                </c:pt>
                <c:pt idx="8">
                  <c:v>3.5474592846231424E-2</c:v>
                </c:pt>
                <c:pt idx="9">
                  <c:v>4.3983595980427191E-2</c:v>
                </c:pt>
                <c:pt idx="10">
                  <c:v>5.3990966513188063E-2</c:v>
                </c:pt>
                <c:pt idx="11">
                  <c:v>6.5615814774676595E-2</c:v>
                </c:pt>
                <c:pt idx="12">
                  <c:v>7.8950158300894149E-2</c:v>
                </c:pt>
                <c:pt idx="13">
                  <c:v>9.4049077376886947E-2</c:v>
                </c:pt>
                <c:pt idx="14">
                  <c:v>0.11092083467945554</c:v>
                </c:pt>
                <c:pt idx="15">
                  <c:v>0.12951759566589174</c:v>
                </c:pt>
                <c:pt idx="16">
                  <c:v>0.14972746563574488</c:v>
                </c:pt>
                <c:pt idx="17">
                  <c:v>0.17136859204780736</c:v>
                </c:pt>
                <c:pt idx="18">
                  <c:v>0.19418605498321295</c:v>
                </c:pt>
                <c:pt idx="19">
                  <c:v>0.21785217703255053</c:v>
                </c:pt>
                <c:pt idx="20">
                  <c:v>0.24197072451914337</c:v>
                </c:pt>
                <c:pt idx="21">
                  <c:v>0.26608524989875482</c:v>
                </c:pt>
                <c:pt idx="22">
                  <c:v>0.28969155276148273</c:v>
                </c:pt>
                <c:pt idx="23">
                  <c:v>0.31225393336676127</c:v>
                </c:pt>
                <c:pt idx="24">
                  <c:v>0.33322460289179967</c:v>
                </c:pt>
                <c:pt idx="25">
                  <c:v>0.35206532676429952</c:v>
                </c:pt>
                <c:pt idx="26">
                  <c:v>0.36827014030332333</c:v>
                </c:pt>
                <c:pt idx="27">
                  <c:v>0.38138781546052414</c:v>
                </c:pt>
                <c:pt idx="28">
                  <c:v>0.39104269397545588</c:v>
                </c:pt>
                <c:pt idx="29">
                  <c:v>0.39695254747701181</c:v>
                </c:pt>
                <c:pt idx="30">
                  <c:v>0.3989422804014327</c:v>
                </c:pt>
                <c:pt idx="31">
                  <c:v>0.39695254747701181</c:v>
                </c:pt>
                <c:pt idx="32">
                  <c:v>0.39104269397545588</c:v>
                </c:pt>
                <c:pt idx="33">
                  <c:v>0.38138781546052414</c:v>
                </c:pt>
                <c:pt idx="34">
                  <c:v>0.36827014030332333</c:v>
                </c:pt>
                <c:pt idx="35">
                  <c:v>0.35206532676429952</c:v>
                </c:pt>
                <c:pt idx="36">
                  <c:v>0.33322460289179967</c:v>
                </c:pt>
                <c:pt idx="37">
                  <c:v>0.31225393336676127</c:v>
                </c:pt>
                <c:pt idx="38">
                  <c:v>0.28969155276148273</c:v>
                </c:pt>
                <c:pt idx="39">
                  <c:v>0.26608524989875482</c:v>
                </c:pt>
                <c:pt idx="40">
                  <c:v>0.24197072451914337</c:v>
                </c:pt>
                <c:pt idx="41">
                  <c:v>0.21785217703255053</c:v>
                </c:pt>
                <c:pt idx="42">
                  <c:v>0.19418605498321295</c:v>
                </c:pt>
                <c:pt idx="43">
                  <c:v>0.17136859204780736</c:v>
                </c:pt>
                <c:pt idx="44">
                  <c:v>0.14972746563574488</c:v>
                </c:pt>
                <c:pt idx="45">
                  <c:v>0.12951759566589174</c:v>
                </c:pt>
                <c:pt idx="46">
                  <c:v>0.11092083467945554</c:v>
                </c:pt>
                <c:pt idx="47">
                  <c:v>9.4049077376886947E-2</c:v>
                </c:pt>
                <c:pt idx="48">
                  <c:v>7.8950158300894149E-2</c:v>
                </c:pt>
                <c:pt idx="49">
                  <c:v>6.5615814774676595E-2</c:v>
                </c:pt>
                <c:pt idx="50">
                  <c:v>5.3990966513188063E-2</c:v>
                </c:pt>
                <c:pt idx="51">
                  <c:v>4.3983595980427191E-2</c:v>
                </c:pt>
                <c:pt idx="52">
                  <c:v>3.5474592846231424E-2</c:v>
                </c:pt>
                <c:pt idx="53">
                  <c:v>2.8327037741601186E-2</c:v>
                </c:pt>
                <c:pt idx="54">
                  <c:v>2.2394530294842899E-2</c:v>
                </c:pt>
                <c:pt idx="55">
                  <c:v>1.7528300493568086E-2</c:v>
                </c:pt>
                <c:pt idx="56">
                  <c:v>1.3582969233685613E-2</c:v>
                </c:pt>
                <c:pt idx="57">
                  <c:v>1.0420934814422592E-2</c:v>
                </c:pt>
                <c:pt idx="58">
                  <c:v>7.915451582979743E-3</c:v>
                </c:pt>
                <c:pt idx="59">
                  <c:v>5.9525324197756795E-3</c:v>
                </c:pt>
                <c:pt idx="60">
                  <c:v>4.431848411937874E-3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27-43EE-B9FF-2EA766BE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425007"/>
        <c:axId val="474421647"/>
      </c:lineChart>
      <c:catAx>
        <c:axId val="474425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4421647"/>
        <c:crosses val="autoZero"/>
        <c:auto val="1"/>
        <c:lblAlgn val="ctr"/>
        <c:lblOffset val="100"/>
        <c:noMultiLvlLbl val="0"/>
      </c:catAx>
      <c:valAx>
        <c:axId val="474421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4425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二項分布シミュレーター!$C$16</c:f>
              <c:strCache>
                <c:ptCount val="1"/>
                <c:pt idx="0">
                  <c:v>P(X=k)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二項分布シミュレーター!$B$17:$B$47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二項分布シミュレーター!$C$17:$C$47</c:f>
              <c:numCache>
                <c:formatCode>0.0000</c:formatCode>
                <c:ptCount val="31"/>
                <c:pt idx="0">
                  <c:v>9.3132257461547934E-10</c:v>
                </c:pt>
                <c:pt idx="1">
                  <c:v>2.7939677238464359E-8</c:v>
                </c:pt>
                <c:pt idx="2">
                  <c:v>4.0512531995773342E-7</c:v>
                </c:pt>
                <c:pt idx="3">
                  <c:v>3.781169652938836E-6</c:v>
                </c:pt>
                <c:pt idx="4">
                  <c:v>2.5522895157337233E-5</c:v>
                </c:pt>
                <c:pt idx="5">
                  <c:v>1.3271905481815344E-4</c:v>
                </c:pt>
                <c:pt idx="6">
                  <c:v>5.5299606174230467E-4</c:v>
                </c:pt>
                <c:pt idx="7">
                  <c:v>1.8959864974021896E-3</c:v>
                </c:pt>
                <c:pt idx="8">
                  <c:v>5.4509611800313048E-3</c:v>
                </c:pt>
                <c:pt idx="9">
                  <c:v>1.3324571773409849E-2</c:v>
                </c:pt>
                <c:pt idx="10">
                  <c:v>2.7981600724160692E-2</c:v>
                </c:pt>
                <c:pt idx="11">
                  <c:v>5.0875637680292116E-2</c:v>
                </c:pt>
                <c:pt idx="12">
                  <c:v>8.0553092993795886E-2</c:v>
                </c:pt>
                <c:pt idx="13">
                  <c:v>0.1115350518375635</c:v>
                </c:pt>
                <c:pt idx="14">
                  <c:v>0.13543542008847004</c:v>
                </c:pt>
                <c:pt idx="15">
                  <c:v>0.14446444809436798</c:v>
                </c:pt>
                <c:pt idx="16">
                  <c:v>0.13543542008847004</c:v>
                </c:pt>
                <c:pt idx="17">
                  <c:v>0.1115350518375635</c:v>
                </c:pt>
                <c:pt idx="18">
                  <c:v>8.0553092993795886E-2</c:v>
                </c:pt>
                <c:pt idx="19">
                  <c:v>5.0875637680292116E-2</c:v>
                </c:pt>
                <c:pt idx="20">
                  <c:v>2.7981600724160689E-2</c:v>
                </c:pt>
                <c:pt idx="21">
                  <c:v>1.3324571773409843E-2</c:v>
                </c:pt>
                <c:pt idx="22">
                  <c:v>5.4509611800313022E-3</c:v>
                </c:pt>
                <c:pt idx="23">
                  <c:v>1.8959864974021896E-3</c:v>
                </c:pt>
                <c:pt idx="24">
                  <c:v>5.5299606174230467E-4</c:v>
                </c:pt>
                <c:pt idx="25">
                  <c:v>1.3271905481815344E-4</c:v>
                </c:pt>
                <c:pt idx="26">
                  <c:v>2.5522895157337233E-5</c:v>
                </c:pt>
                <c:pt idx="27">
                  <c:v>3.781169652938836E-6</c:v>
                </c:pt>
                <c:pt idx="28">
                  <c:v>4.0512531995773411E-7</c:v>
                </c:pt>
                <c:pt idx="29">
                  <c:v>2.7939677238464359E-8</c:v>
                </c:pt>
                <c:pt idx="30">
                  <c:v>9.3132257461547934E-10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22B-4179-9F12-33BA225E0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5657280"/>
        <c:axId val="915650560"/>
      </c:lineChart>
      <c:catAx>
        <c:axId val="91565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15650560"/>
        <c:crosses val="autoZero"/>
        <c:auto val="1"/>
        <c:lblAlgn val="ctr"/>
        <c:lblOffset val="100"/>
        <c:noMultiLvlLbl val="0"/>
      </c:catAx>
      <c:valAx>
        <c:axId val="91565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1565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238124</xdr:rowOff>
    </xdr:from>
    <xdr:to>
      <xdr:col>26</xdr:col>
      <xdr:colOff>0</xdr:colOff>
      <xdr:row>18</xdr:row>
      <xdr:rowOff>238124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BF19939-883F-4718-8A74-4B75C7188C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1866899</xdr:colOff>
      <xdr:row>9</xdr:row>
      <xdr:rowOff>0</xdr:rowOff>
    </xdr:from>
    <xdr:to>
      <xdr:col>15</xdr:col>
      <xdr:colOff>581024</xdr:colOff>
      <xdr:row>23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6DBF4D0-C7F5-4843-A804-E91A8FE11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tabSelected="1" zoomScaleNormal="100" workbookViewId="0"/>
  </sheetViews>
  <sheetFormatPr defaultColWidth="8.7109375" defaultRowHeight="18.75" x14ac:dyDescent="0.25"/>
  <cols>
    <col min="1" max="1" width="4.7109375" style="1" customWidth="1"/>
    <col min="2" max="2" width="32" style="1" customWidth="1"/>
    <col min="3" max="3" width="60" style="1" customWidth="1"/>
    <col min="4" max="16384" width="8.7109375" style="1"/>
  </cols>
  <sheetData>
    <row r="1" spans="2:3" ht="18.75" customHeight="1" x14ac:dyDescent="0.25"/>
    <row r="2" spans="2:3" ht="30" customHeight="1" x14ac:dyDescent="0.25">
      <c r="B2" s="2" t="s">
        <v>214</v>
      </c>
    </row>
    <row r="3" spans="2:3" ht="18.75" customHeight="1" x14ac:dyDescent="0.25">
      <c r="B3" s="10" t="s">
        <v>120</v>
      </c>
    </row>
    <row r="4" spans="2:3" ht="18.75" customHeight="1" x14ac:dyDescent="0.25"/>
    <row r="5" spans="2:3" ht="18.75" customHeight="1" x14ac:dyDescent="0.25"/>
    <row r="6" spans="2:3" ht="18.75" customHeight="1" x14ac:dyDescent="0.25">
      <c r="B6" s="3" t="s">
        <v>0</v>
      </c>
    </row>
    <row r="7" spans="2:3" ht="18.75" customHeight="1" x14ac:dyDescent="0.25"/>
    <row r="8" spans="2:3" ht="18.75" customHeight="1" x14ac:dyDescent="0.25">
      <c r="B8" s="4" t="s">
        <v>121</v>
      </c>
      <c r="C8" s="5" t="s">
        <v>122</v>
      </c>
    </row>
    <row r="9" spans="2:3" ht="18.75" customHeight="1" x14ac:dyDescent="0.25">
      <c r="B9" s="4" t="s">
        <v>123</v>
      </c>
      <c r="C9" s="5" t="s">
        <v>124</v>
      </c>
    </row>
    <row r="10" spans="2:3" ht="18.75" customHeight="1" x14ac:dyDescent="0.25">
      <c r="B10" s="4" t="s">
        <v>125</v>
      </c>
      <c r="C10" s="5" t="s">
        <v>126</v>
      </c>
    </row>
    <row r="11" spans="2:3" ht="18.75" customHeight="1" x14ac:dyDescent="0.25">
      <c r="B11" s="4" t="s">
        <v>1</v>
      </c>
      <c r="C11" s="5" t="s">
        <v>127</v>
      </c>
    </row>
    <row r="12" spans="2:3" ht="18.75" customHeight="1" x14ac:dyDescent="0.25">
      <c r="B12" s="4" t="s">
        <v>2</v>
      </c>
      <c r="C12" s="5" t="s">
        <v>128</v>
      </c>
    </row>
    <row r="13" spans="2:3" ht="18.75" customHeight="1" x14ac:dyDescent="0.25">
      <c r="B13" s="4" t="s">
        <v>3</v>
      </c>
      <c r="C13" s="5" t="s">
        <v>129</v>
      </c>
    </row>
    <row r="14" spans="2:3" ht="18.75" customHeight="1" x14ac:dyDescent="0.25"/>
    <row r="15" spans="2:3" ht="18.75" customHeight="1" x14ac:dyDescent="0.25">
      <c r="B15" s="3" t="s">
        <v>4</v>
      </c>
    </row>
    <row r="16" spans="2:3" ht="18.75" customHeight="1" x14ac:dyDescent="0.25">
      <c r="B16" s="5" t="s">
        <v>130</v>
      </c>
    </row>
    <row r="17" spans="2:2" ht="18.75" customHeight="1" x14ac:dyDescent="0.25">
      <c r="B17" s="5" t="s">
        <v>5</v>
      </c>
    </row>
    <row r="18" spans="2:2" ht="18.75" customHeight="1" x14ac:dyDescent="0.25">
      <c r="B18" s="5" t="s">
        <v>131</v>
      </c>
    </row>
    <row r="19" spans="2:2" ht="18.75" customHeight="1" x14ac:dyDescent="0.25"/>
    <row r="20" spans="2:2" ht="18.75" customHeight="1" x14ac:dyDescent="0.25"/>
    <row r="21" spans="2:2" ht="18.75" customHeight="1" x14ac:dyDescent="0.25">
      <c r="B21" s="10" t="s">
        <v>132</v>
      </c>
    </row>
    <row r="22" spans="2:2" ht="18.75" customHeight="1" x14ac:dyDescent="0.25">
      <c r="B22" s="11" t="s">
        <v>6</v>
      </c>
    </row>
    <row r="23" spans="2:2" ht="18.75" customHeight="1" x14ac:dyDescent="0.25"/>
    <row r="24" spans="2:2" ht="18.75" customHeight="1" x14ac:dyDescent="0.25"/>
    <row r="25" spans="2:2" ht="18.75" customHeight="1" x14ac:dyDescent="0.25"/>
  </sheetData>
  <phoneticPr fontId="11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89"/>
  <sheetViews>
    <sheetView zoomScaleNormal="100" workbookViewId="0"/>
  </sheetViews>
  <sheetFormatPr defaultColWidth="8.7109375" defaultRowHeight="18.75" x14ac:dyDescent="0.25"/>
  <cols>
    <col min="1" max="1" width="4.7109375" style="1" customWidth="1"/>
    <col min="2" max="2" width="12" style="1" customWidth="1"/>
    <col min="3" max="8" width="18.7109375" style="1" customWidth="1"/>
    <col min="9" max="16384" width="8.7109375" style="1"/>
  </cols>
  <sheetData>
    <row r="1" spans="2:8" ht="18.75" customHeight="1" x14ac:dyDescent="0.25"/>
    <row r="2" spans="2:8" ht="30" customHeight="1" x14ac:dyDescent="0.25">
      <c r="B2" s="6" t="s">
        <v>199</v>
      </c>
    </row>
    <row r="3" spans="2:8" ht="18.75" customHeight="1" x14ac:dyDescent="0.25">
      <c r="B3" s="10" t="s">
        <v>200</v>
      </c>
    </row>
    <row r="4" spans="2:8" ht="18.75" customHeight="1" x14ac:dyDescent="0.25"/>
    <row r="5" spans="2:8" ht="18.75" customHeight="1" x14ac:dyDescent="0.25">
      <c r="B5" s="9" t="s">
        <v>172</v>
      </c>
      <c r="C5" s="9" t="s">
        <v>7</v>
      </c>
      <c r="D5" s="9"/>
      <c r="E5" s="9"/>
      <c r="F5" s="9"/>
      <c r="G5" s="9"/>
      <c r="H5" s="9"/>
    </row>
    <row r="6" spans="2:8" ht="18.75" customHeight="1" x14ac:dyDescent="0.25">
      <c r="B6" s="13" t="s">
        <v>201</v>
      </c>
      <c r="C6" s="13"/>
      <c r="D6" s="13"/>
      <c r="E6" s="13"/>
      <c r="F6" s="13"/>
      <c r="G6" s="13"/>
      <c r="H6" s="13"/>
    </row>
    <row r="7" spans="2:8" ht="18.75" customHeight="1" x14ac:dyDescent="0.25">
      <c r="B7" s="5"/>
      <c r="C7" s="5"/>
      <c r="D7" s="5"/>
      <c r="E7" s="5"/>
      <c r="F7" s="5"/>
      <c r="G7" s="5"/>
      <c r="H7" s="5"/>
    </row>
    <row r="8" spans="2:8" ht="18.75" customHeight="1" x14ac:dyDescent="0.25">
      <c r="B8" s="7" t="s">
        <v>8</v>
      </c>
      <c r="C8" s="16" t="s">
        <v>9</v>
      </c>
      <c r="D8" s="16" t="s">
        <v>10</v>
      </c>
      <c r="E8" s="16" t="s">
        <v>11</v>
      </c>
    </row>
    <row r="9" spans="2:8" ht="18.75" customHeight="1" x14ac:dyDescent="0.25">
      <c r="C9" s="17">
        <v>1</v>
      </c>
      <c r="D9" s="18">
        <f t="shared" ref="D9:D14" si="0">1/6</f>
        <v>0.16666666666666666</v>
      </c>
      <c r="E9" s="18">
        <f t="shared" ref="E9:E14" si="1">C9*D9</f>
        <v>0.16666666666666666</v>
      </c>
    </row>
    <row r="10" spans="2:8" ht="18.75" customHeight="1" x14ac:dyDescent="0.25">
      <c r="C10" s="17">
        <v>2</v>
      </c>
      <c r="D10" s="18">
        <f t="shared" si="0"/>
        <v>0.16666666666666666</v>
      </c>
      <c r="E10" s="18">
        <f t="shared" si="1"/>
        <v>0.33333333333333331</v>
      </c>
    </row>
    <row r="11" spans="2:8" ht="18.75" customHeight="1" x14ac:dyDescent="0.25">
      <c r="C11" s="17">
        <v>3</v>
      </c>
      <c r="D11" s="18">
        <f t="shared" si="0"/>
        <v>0.16666666666666666</v>
      </c>
      <c r="E11" s="18">
        <f t="shared" si="1"/>
        <v>0.5</v>
      </c>
    </row>
    <row r="12" spans="2:8" ht="18.75" customHeight="1" x14ac:dyDescent="0.25">
      <c r="C12" s="17">
        <v>4</v>
      </c>
      <c r="D12" s="18">
        <f t="shared" si="0"/>
        <v>0.16666666666666666</v>
      </c>
      <c r="E12" s="18">
        <f t="shared" si="1"/>
        <v>0.66666666666666663</v>
      </c>
    </row>
    <row r="13" spans="2:8" ht="18.75" customHeight="1" x14ac:dyDescent="0.25">
      <c r="C13" s="17">
        <v>5</v>
      </c>
      <c r="D13" s="18">
        <f t="shared" si="0"/>
        <v>0.16666666666666666</v>
      </c>
      <c r="E13" s="18">
        <f t="shared" si="1"/>
        <v>0.83333333333333326</v>
      </c>
    </row>
    <row r="14" spans="2:8" ht="18.75" customHeight="1" x14ac:dyDescent="0.25">
      <c r="C14" s="17">
        <v>6</v>
      </c>
      <c r="D14" s="18">
        <f t="shared" si="0"/>
        <v>0.16666666666666666</v>
      </c>
      <c r="E14" s="18">
        <f t="shared" si="1"/>
        <v>1</v>
      </c>
    </row>
    <row r="15" spans="2:8" ht="18.75" customHeight="1" x14ac:dyDescent="0.25">
      <c r="C15" s="17" t="s">
        <v>12</v>
      </c>
      <c r="D15" s="18">
        <f>SUM(D9:D14)</f>
        <v>0.99999999999999989</v>
      </c>
      <c r="E15" s="19">
        <f>SUM(E9:E14)</f>
        <v>3.5</v>
      </c>
    </row>
    <row r="16" spans="2:8" ht="18.75" customHeight="1" x14ac:dyDescent="0.25">
      <c r="C16" s="14"/>
      <c r="D16" s="15"/>
      <c r="E16" s="15"/>
      <c r="F16" s="15"/>
    </row>
    <row r="17" spans="2:8" ht="18.75" customHeight="1" x14ac:dyDescent="0.25">
      <c r="B17" s="12" t="s">
        <v>202</v>
      </c>
    </row>
    <row r="18" spans="2:8" ht="18.75" customHeight="1" x14ac:dyDescent="0.25"/>
    <row r="19" spans="2:8" ht="18.75" customHeight="1" x14ac:dyDescent="0.25">
      <c r="B19" s="9" t="s">
        <v>174</v>
      </c>
      <c r="C19" s="9" t="s">
        <v>13</v>
      </c>
      <c r="D19" s="9"/>
      <c r="E19" s="9"/>
      <c r="F19" s="9"/>
      <c r="G19" s="9"/>
      <c r="H19" s="9"/>
    </row>
    <row r="20" spans="2:8" ht="18.75" customHeight="1" x14ac:dyDescent="0.25">
      <c r="B20" s="13" t="s">
        <v>203</v>
      </c>
      <c r="C20" s="13"/>
      <c r="D20" s="13"/>
      <c r="E20" s="13"/>
      <c r="F20" s="13"/>
      <c r="G20" s="13"/>
      <c r="H20" s="13"/>
    </row>
    <row r="21" spans="2:8" ht="18.75" customHeight="1" x14ac:dyDescent="0.25">
      <c r="B21" s="5"/>
      <c r="C21" s="5"/>
      <c r="D21" s="5"/>
      <c r="E21" s="5"/>
      <c r="F21" s="5"/>
      <c r="G21" s="5"/>
      <c r="H21" s="5"/>
    </row>
    <row r="22" spans="2:8" ht="18.75" customHeight="1" x14ac:dyDescent="0.25">
      <c r="B22" s="7" t="s">
        <v>8</v>
      </c>
      <c r="C22" s="16" t="s">
        <v>9</v>
      </c>
      <c r="D22" s="16" t="s">
        <v>10</v>
      </c>
      <c r="E22" s="16" t="s">
        <v>11</v>
      </c>
    </row>
    <row r="23" spans="2:8" ht="18.75" customHeight="1" x14ac:dyDescent="0.25">
      <c r="C23" s="17">
        <v>1</v>
      </c>
      <c r="D23" s="21">
        <v>0.5</v>
      </c>
      <c r="E23" s="21">
        <f t="shared" ref="E23:E28" si="2">C23*D23</f>
        <v>0.5</v>
      </c>
    </row>
    <row r="24" spans="2:8" ht="18.75" customHeight="1" x14ac:dyDescent="0.25">
      <c r="C24" s="17">
        <v>2</v>
      </c>
      <c r="D24" s="21">
        <v>0.1</v>
      </c>
      <c r="E24" s="21">
        <f t="shared" si="2"/>
        <v>0.2</v>
      </c>
    </row>
    <row r="25" spans="2:8" ht="18.75" customHeight="1" x14ac:dyDescent="0.25">
      <c r="C25" s="17">
        <v>3</v>
      </c>
      <c r="D25" s="21">
        <v>0.1</v>
      </c>
      <c r="E25" s="21">
        <f t="shared" si="2"/>
        <v>0.30000000000000004</v>
      </c>
    </row>
    <row r="26" spans="2:8" ht="18.75" customHeight="1" x14ac:dyDescent="0.25">
      <c r="C26" s="17">
        <v>4</v>
      </c>
      <c r="D26" s="21">
        <v>0.1</v>
      </c>
      <c r="E26" s="21">
        <f t="shared" si="2"/>
        <v>0.4</v>
      </c>
    </row>
    <row r="27" spans="2:8" ht="18.75" customHeight="1" x14ac:dyDescent="0.25">
      <c r="C27" s="17">
        <v>5</v>
      </c>
      <c r="D27" s="21">
        <v>0.1</v>
      </c>
      <c r="E27" s="21">
        <f t="shared" si="2"/>
        <v>0.5</v>
      </c>
    </row>
    <row r="28" spans="2:8" ht="18.75" customHeight="1" x14ac:dyDescent="0.25">
      <c r="C28" s="17">
        <v>6</v>
      </c>
      <c r="D28" s="21">
        <v>0.1</v>
      </c>
      <c r="E28" s="21">
        <f t="shared" si="2"/>
        <v>0.60000000000000009</v>
      </c>
    </row>
    <row r="29" spans="2:8" ht="18.75" customHeight="1" x14ac:dyDescent="0.25">
      <c r="C29" s="17" t="s">
        <v>12</v>
      </c>
      <c r="D29" s="21">
        <f>SUM(D23:D28)</f>
        <v>0.99999999999999989</v>
      </c>
      <c r="E29" s="22">
        <f>SUM(E23:E28)</f>
        <v>2.5</v>
      </c>
    </row>
    <row r="30" spans="2:8" ht="18.75" customHeight="1" x14ac:dyDescent="0.25">
      <c r="C30" s="14"/>
      <c r="D30" s="20"/>
      <c r="E30" s="20"/>
    </row>
    <row r="31" spans="2:8" ht="18.75" customHeight="1" x14ac:dyDescent="0.25">
      <c r="B31" s="12" t="s">
        <v>204</v>
      </c>
    </row>
    <row r="32" spans="2:8" ht="18.75" customHeight="1" x14ac:dyDescent="0.25"/>
    <row r="33" spans="2:8" ht="18.75" customHeight="1" x14ac:dyDescent="0.25">
      <c r="B33" s="9" t="s">
        <v>178</v>
      </c>
      <c r="C33" s="9" t="s">
        <v>14</v>
      </c>
      <c r="D33" s="9"/>
      <c r="E33" s="9"/>
      <c r="F33" s="9"/>
      <c r="G33" s="9"/>
      <c r="H33" s="9"/>
    </row>
    <row r="34" spans="2:8" ht="18.75" customHeight="1" x14ac:dyDescent="0.25">
      <c r="B34" s="13" t="s">
        <v>205</v>
      </c>
      <c r="C34" s="13"/>
      <c r="D34" s="13"/>
      <c r="E34" s="13"/>
      <c r="F34" s="13"/>
      <c r="G34" s="13"/>
      <c r="H34" s="13"/>
    </row>
    <row r="35" spans="2:8" ht="18.75" customHeight="1" x14ac:dyDescent="0.25">
      <c r="B35" s="5"/>
      <c r="C35" s="5"/>
      <c r="D35" s="5"/>
      <c r="E35" s="5"/>
      <c r="F35" s="5"/>
      <c r="G35" s="5"/>
      <c r="H35" s="5"/>
    </row>
    <row r="36" spans="2:8" ht="18.75" customHeight="1" x14ac:dyDescent="0.25">
      <c r="B36" s="7" t="s">
        <v>8</v>
      </c>
      <c r="C36" s="16" t="s">
        <v>9</v>
      </c>
      <c r="D36" s="16" t="s">
        <v>10</v>
      </c>
      <c r="E36" s="16" t="s">
        <v>15</v>
      </c>
      <c r="F36" s="16" t="s">
        <v>16</v>
      </c>
    </row>
    <row r="37" spans="2:8" ht="18.75" customHeight="1" x14ac:dyDescent="0.25">
      <c r="C37" s="17">
        <v>1</v>
      </c>
      <c r="D37" s="18">
        <f t="shared" ref="D37:D42" si="3">1/6</f>
        <v>0.16666666666666666</v>
      </c>
      <c r="E37" s="17">
        <f t="shared" ref="E37:E42" si="4">C37^2</f>
        <v>1</v>
      </c>
      <c r="F37" s="18">
        <f t="shared" ref="F37:F42" si="5">E37*D37</f>
        <v>0.16666666666666666</v>
      </c>
    </row>
    <row r="38" spans="2:8" ht="18.75" customHeight="1" x14ac:dyDescent="0.25">
      <c r="C38" s="17">
        <v>2</v>
      </c>
      <c r="D38" s="18">
        <f t="shared" si="3"/>
        <v>0.16666666666666666</v>
      </c>
      <c r="E38" s="17">
        <f t="shared" si="4"/>
        <v>4</v>
      </c>
      <c r="F38" s="18">
        <f t="shared" si="5"/>
        <v>0.66666666666666663</v>
      </c>
    </row>
    <row r="39" spans="2:8" ht="18.75" customHeight="1" x14ac:dyDescent="0.25">
      <c r="C39" s="17">
        <v>3</v>
      </c>
      <c r="D39" s="18">
        <f t="shared" si="3"/>
        <v>0.16666666666666666</v>
      </c>
      <c r="E39" s="17">
        <f t="shared" si="4"/>
        <v>9</v>
      </c>
      <c r="F39" s="18">
        <f t="shared" si="5"/>
        <v>1.5</v>
      </c>
    </row>
    <row r="40" spans="2:8" ht="18.75" customHeight="1" x14ac:dyDescent="0.25">
      <c r="C40" s="17">
        <v>4</v>
      </c>
      <c r="D40" s="18">
        <f t="shared" si="3"/>
        <v>0.16666666666666666</v>
      </c>
      <c r="E40" s="17">
        <f t="shared" si="4"/>
        <v>16</v>
      </c>
      <c r="F40" s="18">
        <f t="shared" si="5"/>
        <v>2.6666666666666665</v>
      </c>
    </row>
    <row r="41" spans="2:8" ht="18.75" customHeight="1" x14ac:dyDescent="0.25">
      <c r="C41" s="17">
        <v>5</v>
      </c>
      <c r="D41" s="18">
        <f t="shared" si="3"/>
        <v>0.16666666666666666</v>
      </c>
      <c r="E41" s="17">
        <f t="shared" si="4"/>
        <v>25</v>
      </c>
      <c r="F41" s="18">
        <f t="shared" si="5"/>
        <v>4.1666666666666661</v>
      </c>
    </row>
    <row r="42" spans="2:8" ht="18.75" customHeight="1" x14ac:dyDescent="0.25">
      <c r="C42" s="17">
        <v>6</v>
      </c>
      <c r="D42" s="18">
        <f t="shared" si="3"/>
        <v>0.16666666666666666</v>
      </c>
      <c r="E42" s="17">
        <f t="shared" si="4"/>
        <v>36</v>
      </c>
      <c r="F42" s="18">
        <f t="shared" si="5"/>
        <v>6</v>
      </c>
    </row>
    <row r="43" spans="2:8" ht="18.75" customHeight="1" x14ac:dyDescent="0.25">
      <c r="E43" s="16" t="s">
        <v>17</v>
      </c>
      <c r="F43" s="18">
        <f>SUM(F37:F42)</f>
        <v>15.166666666666666</v>
      </c>
      <c r="G43" s="12" t="s">
        <v>216</v>
      </c>
    </row>
    <row r="44" spans="2:8" ht="18.75" customHeight="1" x14ac:dyDescent="0.25">
      <c r="E44" s="16" t="s">
        <v>18</v>
      </c>
      <c r="F44" s="18">
        <f>3.5^2</f>
        <v>12.25</v>
      </c>
      <c r="G44" s="12" t="s">
        <v>215</v>
      </c>
    </row>
    <row r="45" spans="2:8" ht="18.75" customHeight="1" x14ac:dyDescent="0.25">
      <c r="E45" s="16" t="s">
        <v>19</v>
      </c>
      <c r="F45" s="22">
        <f>F43-F44</f>
        <v>2.9166666666666661</v>
      </c>
      <c r="G45" s="12" t="s">
        <v>217</v>
      </c>
    </row>
    <row r="46" spans="2:8" ht="18.75" customHeight="1" x14ac:dyDescent="0.25">
      <c r="E46" s="16" t="s">
        <v>20</v>
      </c>
      <c r="F46" s="22">
        <f>SQRT(F45)</f>
        <v>1.707825127659933</v>
      </c>
      <c r="G46" s="12" t="s">
        <v>218</v>
      </c>
    </row>
    <row r="47" spans="2:8" ht="18.75" customHeight="1" x14ac:dyDescent="0.25"/>
    <row r="48" spans="2:8" ht="18.75" customHeight="1" x14ac:dyDescent="0.25">
      <c r="B48" s="12" t="s">
        <v>206</v>
      </c>
    </row>
    <row r="49" spans="2:8" ht="18.75" customHeight="1" x14ac:dyDescent="0.25"/>
    <row r="50" spans="2:8" ht="18.75" customHeight="1" x14ac:dyDescent="0.25">
      <c r="B50" s="9" t="s">
        <v>184</v>
      </c>
      <c r="C50" s="9" t="s">
        <v>207</v>
      </c>
      <c r="D50" s="9"/>
      <c r="E50" s="9"/>
      <c r="F50" s="9"/>
      <c r="G50" s="9"/>
      <c r="H50" s="9"/>
    </row>
    <row r="51" spans="2:8" ht="18.75" customHeight="1" x14ac:dyDescent="0.25">
      <c r="B51" s="13" t="s">
        <v>208</v>
      </c>
      <c r="C51" s="13"/>
      <c r="D51" s="13"/>
      <c r="E51" s="13"/>
      <c r="F51" s="13"/>
      <c r="G51" s="13"/>
      <c r="H51" s="13"/>
    </row>
    <row r="52" spans="2:8" ht="18.75" customHeight="1" x14ac:dyDescent="0.25">
      <c r="B52" s="5"/>
      <c r="C52" s="5"/>
      <c r="D52" s="5"/>
      <c r="E52" s="5"/>
      <c r="F52" s="5"/>
      <c r="G52" s="5"/>
      <c r="H52" s="5"/>
    </row>
    <row r="53" spans="2:8" ht="18.75" customHeight="1" x14ac:dyDescent="0.25">
      <c r="B53" s="7" t="s">
        <v>8</v>
      </c>
      <c r="C53" s="16" t="s">
        <v>21</v>
      </c>
      <c r="D53" s="16" t="s">
        <v>22</v>
      </c>
      <c r="E53" s="16" t="s">
        <v>23</v>
      </c>
      <c r="F53" s="16" t="s">
        <v>24</v>
      </c>
    </row>
    <row r="54" spans="2:8" ht="18.75" customHeight="1" x14ac:dyDescent="0.25">
      <c r="C54" s="17" t="s">
        <v>25</v>
      </c>
      <c r="D54" s="17" t="s">
        <v>26</v>
      </c>
      <c r="E54" s="17" t="s">
        <v>27</v>
      </c>
      <c r="F54" s="26">
        <f>2*50+30</f>
        <v>130</v>
      </c>
    </row>
    <row r="55" spans="2:8" ht="18.75" customHeight="1" x14ac:dyDescent="0.25">
      <c r="C55" s="17" t="s">
        <v>28</v>
      </c>
      <c r="D55" s="17" t="s">
        <v>29</v>
      </c>
      <c r="E55" s="17" t="s">
        <v>30</v>
      </c>
      <c r="F55" s="26">
        <f>2^2*100</f>
        <v>400</v>
      </c>
    </row>
    <row r="56" spans="2:8" ht="18.75" customHeight="1" x14ac:dyDescent="0.25">
      <c r="C56" s="17" t="s">
        <v>31</v>
      </c>
      <c r="D56" s="17" t="s">
        <v>32</v>
      </c>
      <c r="E56" s="17" t="s">
        <v>33</v>
      </c>
      <c r="F56" s="26">
        <f>2*10</f>
        <v>20</v>
      </c>
    </row>
    <row r="57" spans="2:8" ht="18.75" customHeight="1" x14ac:dyDescent="0.25">
      <c r="C57" s="14"/>
      <c r="D57" s="14"/>
      <c r="E57" s="14"/>
      <c r="F57" s="14"/>
      <c r="G57" s="14"/>
      <c r="H57" s="14"/>
    </row>
    <row r="58" spans="2:8" ht="18.75" customHeight="1" x14ac:dyDescent="0.25">
      <c r="B58" s="12" t="s">
        <v>209</v>
      </c>
    </row>
    <row r="59" spans="2:8" ht="18.75" customHeight="1" x14ac:dyDescent="0.25"/>
    <row r="60" spans="2:8" ht="18.75" customHeight="1" x14ac:dyDescent="0.25">
      <c r="B60" s="9" t="s">
        <v>210</v>
      </c>
      <c r="C60" s="9" t="s">
        <v>211</v>
      </c>
      <c r="D60" s="9"/>
      <c r="E60" s="9"/>
      <c r="F60" s="9"/>
      <c r="G60" s="9"/>
      <c r="H60" s="9"/>
    </row>
    <row r="61" spans="2:8" ht="18.75" customHeight="1" x14ac:dyDescent="0.25">
      <c r="B61" s="13" t="s">
        <v>212</v>
      </c>
      <c r="C61" s="13"/>
      <c r="D61" s="13"/>
      <c r="E61" s="13"/>
      <c r="F61" s="13"/>
      <c r="G61" s="13"/>
      <c r="H61" s="13"/>
    </row>
    <row r="62" spans="2:8" ht="18.75" customHeight="1" x14ac:dyDescent="0.25">
      <c r="B62" s="5"/>
      <c r="C62" s="5"/>
      <c r="D62" s="5"/>
      <c r="E62" s="5"/>
      <c r="F62" s="5"/>
      <c r="G62" s="5"/>
      <c r="H62" s="5"/>
    </row>
    <row r="63" spans="2:8" ht="18.75" customHeight="1" x14ac:dyDescent="0.25">
      <c r="B63" s="7" t="s">
        <v>8</v>
      </c>
      <c r="C63" s="16" t="s">
        <v>21</v>
      </c>
      <c r="D63" s="16" t="s">
        <v>23</v>
      </c>
      <c r="E63" s="16" t="s">
        <v>24</v>
      </c>
    </row>
    <row r="64" spans="2:8" ht="18.75" customHeight="1" x14ac:dyDescent="0.25">
      <c r="C64" s="17" t="s">
        <v>28</v>
      </c>
      <c r="D64" s="17" t="s">
        <v>34</v>
      </c>
      <c r="E64" s="26">
        <f>3^2*25</f>
        <v>225</v>
      </c>
    </row>
    <row r="65" spans="2:5" ht="18.75" customHeight="1" x14ac:dyDescent="0.25">
      <c r="C65" s="17" t="s">
        <v>31</v>
      </c>
      <c r="D65" s="17" t="s">
        <v>35</v>
      </c>
      <c r="E65" s="26">
        <f>3*5</f>
        <v>15</v>
      </c>
    </row>
    <row r="66" spans="2:5" ht="18.75" customHeight="1" x14ac:dyDescent="0.25"/>
    <row r="67" spans="2:5" ht="18.75" customHeight="1" x14ac:dyDescent="0.25">
      <c r="B67" s="12" t="s">
        <v>213</v>
      </c>
    </row>
    <row r="68" spans="2:5" ht="18.75" customHeight="1" x14ac:dyDescent="0.25"/>
    <row r="69" spans="2:5" ht="18.75" customHeight="1" x14ac:dyDescent="0.25"/>
    <row r="70" spans="2:5" ht="18.75" customHeight="1" x14ac:dyDescent="0.25"/>
    <row r="71" spans="2:5" ht="18.75" customHeight="1" x14ac:dyDescent="0.25"/>
    <row r="72" spans="2:5" ht="18.75" customHeight="1" x14ac:dyDescent="0.25"/>
    <row r="73" spans="2:5" ht="18.75" customHeight="1" x14ac:dyDescent="0.25"/>
    <row r="74" spans="2:5" ht="18.75" customHeight="1" x14ac:dyDescent="0.25"/>
    <row r="75" spans="2:5" ht="18.75" customHeight="1" x14ac:dyDescent="0.25"/>
    <row r="76" spans="2:5" ht="18.75" customHeight="1" x14ac:dyDescent="0.25"/>
    <row r="77" spans="2:5" ht="18.75" customHeight="1" x14ac:dyDescent="0.25"/>
    <row r="78" spans="2:5" ht="18.75" customHeight="1" x14ac:dyDescent="0.25"/>
    <row r="79" spans="2:5" ht="18.75" customHeight="1" x14ac:dyDescent="0.25"/>
    <row r="80" spans="2:5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</sheetData>
  <phoneticPr fontId="11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6"/>
  <sheetViews>
    <sheetView zoomScaleNormal="100" workbookViewId="0"/>
  </sheetViews>
  <sheetFormatPr defaultColWidth="8.7109375" defaultRowHeight="18.75" x14ac:dyDescent="0.25"/>
  <cols>
    <col min="1" max="1" width="4.7109375" style="1" customWidth="1"/>
    <col min="2" max="2" width="12" style="1" customWidth="1"/>
    <col min="3" max="7" width="18.7109375" style="1" customWidth="1"/>
    <col min="8" max="16384" width="8.7109375" style="1"/>
  </cols>
  <sheetData>
    <row r="1" spans="2:7" ht="18.75" customHeight="1" x14ac:dyDescent="0.25"/>
    <row r="2" spans="2:7" ht="30" customHeight="1" x14ac:dyDescent="0.25">
      <c r="B2" s="6" t="s">
        <v>123</v>
      </c>
    </row>
    <row r="3" spans="2:7" ht="18.75" customHeight="1" x14ac:dyDescent="0.25">
      <c r="B3" s="10" t="s">
        <v>188</v>
      </c>
    </row>
    <row r="4" spans="2:7" ht="18.75" customHeight="1" x14ac:dyDescent="0.25"/>
    <row r="5" spans="2:7" ht="18.75" customHeight="1" x14ac:dyDescent="0.25">
      <c r="B5" s="9" t="s">
        <v>172</v>
      </c>
      <c r="C5" s="9" t="s">
        <v>189</v>
      </c>
      <c r="D5" s="9"/>
      <c r="E5" s="9"/>
      <c r="F5" s="9"/>
      <c r="G5" s="9"/>
    </row>
    <row r="6" spans="2:7" ht="18.75" customHeight="1" x14ac:dyDescent="0.25">
      <c r="B6" s="13" t="s">
        <v>190</v>
      </c>
      <c r="C6" s="13"/>
      <c r="D6" s="13"/>
      <c r="E6" s="13"/>
      <c r="F6" s="13"/>
      <c r="G6" s="13"/>
    </row>
    <row r="7" spans="2:7" ht="18.75" customHeight="1" x14ac:dyDescent="0.25">
      <c r="C7" s="5"/>
      <c r="D7" s="14"/>
      <c r="E7" s="14"/>
      <c r="F7" s="14"/>
      <c r="G7" s="14"/>
    </row>
    <row r="8" spans="2:7" ht="18.75" customHeight="1" x14ac:dyDescent="0.25">
      <c r="B8" s="7" t="s">
        <v>8</v>
      </c>
      <c r="C8" s="16" t="s">
        <v>21</v>
      </c>
      <c r="D8" s="16" t="s">
        <v>22</v>
      </c>
      <c r="E8" s="16" t="s">
        <v>23</v>
      </c>
      <c r="F8" s="16" t="s">
        <v>24</v>
      </c>
    </row>
    <row r="9" spans="2:7" ht="18.75" customHeight="1" x14ac:dyDescent="0.25">
      <c r="C9" s="24" t="s">
        <v>36</v>
      </c>
      <c r="D9" s="17" t="s">
        <v>37</v>
      </c>
      <c r="E9" s="17" t="s">
        <v>38</v>
      </c>
      <c r="F9" s="26">
        <f>10*0.5</f>
        <v>5</v>
      </c>
    </row>
    <row r="10" spans="2:7" ht="18.75" customHeight="1" x14ac:dyDescent="0.25">
      <c r="C10" s="24" t="s">
        <v>19</v>
      </c>
      <c r="D10" s="17" t="s">
        <v>39</v>
      </c>
      <c r="E10" s="17" t="s">
        <v>40</v>
      </c>
      <c r="F10" s="26">
        <f>10*0.5*0.5</f>
        <v>2.5</v>
      </c>
    </row>
    <row r="11" spans="2:7" ht="18.75" customHeight="1" x14ac:dyDescent="0.25">
      <c r="C11" s="24" t="s">
        <v>20</v>
      </c>
      <c r="D11" s="17" t="s">
        <v>41</v>
      </c>
      <c r="E11" s="17" t="s">
        <v>42</v>
      </c>
      <c r="F11" s="34">
        <f>SQRT(10*0.5*0.5)</f>
        <v>1.5811388300841898</v>
      </c>
    </row>
    <row r="12" spans="2:7" ht="18.75" customHeight="1" x14ac:dyDescent="0.25"/>
    <row r="13" spans="2:7" ht="18.75" customHeight="1" x14ac:dyDescent="0.25">
      <c r="B13" s="9" t="s">
        <v>174</v>
      </c>
      <c r="C13" s="9" t="s">
        <v>191</v>
      </c>
      <c r="D13" s="9"/>
      <c r="E13" s="9"/>
      <c r="F13" s="9"/>
      <c r="G13" s="9"/>
    </row>
    <row r="14" spans="2:7" ht="18.75" customHeight="1" x14ac:dyDescent="0.25">
      <c r="B14" s="13" t="s">
        <v>192</v>
      </c>
      <c r="C14" s="13"/>
      <c r="D14" s="13"/>
      <c r="E14" s="13"/>
      <c r="F14" s="13"/>
      <c r="G14" s="13"/>
    </row>
    <row r="15" spans="2:7" ht="18.75" customHeight="1" x14ac:dyDescent="0.25">
      <c r="C15" s="5"/>
      <c r="D15" s="14"/>
    </row>
    <row r="16" spans="2:7" ht="18.75" customHeight="1" x14ac:dyDescent="0.25">
      <c r="B16" s="7" t="s">
        <v>8</v>
      </c>
      <c r="C16" s="16" t="s">
        <v>21</v>
      </c>
      <c r="D16" s="16" t="s">
        <v>23</v>
      </c>
      <c r="E16" s="16" t="s">
        <v>24</v>
      </c>
    </row>
    <row r="17" spans="2:7" ht="18.75" customHeight="1" x14ac:dyDescent="0.25">
      <c r="C17" s="24" t="s">
        <v>36</v>
      </c>
      <c r="D17" s="17" t="s">
        <v>43</v>
      </c>
      <c r="E17" s="34">
        <f>20*(1/6)</f>
        <v>3.333333333333333</v>
      </c>
    </row>
    <row r="18" spans="2:7" ht="18.75" customHeight="1" x14ac:dyDescent="0.25">
      <c r="C18" s="24" t="s">
        <v>19</v>
      </c>
      <c r="D18" s="17" t="s">
        <v>44</v>
      </c>
      <c r="E18" s="34">
        <f>20*(1/6)*(5/6)</f>
        <v>2.7777777777777777</v>
      </c>
    </row>
    <row r="19" spans="2:7" ht="18.75" customHeight="1" x14ac:dyDescent="0.25"/>
    <row r="20" spans="2:7" ht="18.75" customHeight="1" x14ac:dyDescent="0.25">
      <c r="B20" s="9" t="s">
        <v>178</v>
      </c>
      <c r="C20" s="9" t="s">
        <v>193</v>
      </c>
      <c r="D20" s="9"/>
      <c r="E20" s="9"/>
      <c r="F20" s="9"/>
      <c r="G20" s="9"/>
    </row>
    <row r="21" spans="2:7" ht="18.75" customHeight="1" x14ac:dyDescent="0.25">
      <c r="B21" s="13" t="s">
        <v>194</v>
      </c>
      <c r="C21" s="13"/>
      <c r="D21" s="13"/>
      <c r="E21" s="13"/>
      <c r="F21" s="13"/>
      <c r="G21" s="13"/>
    </row>
    <row r="22" spans="2:7" ht="18.75" customHeight="1" x14ac:dyDescent="0.25">
      <c r="C22" s="5"/>
      <c r="D22" s="14"/>
    </row>
    <row r="23" spans="2:7" ht="18.75" customHeight="1" x14ac:dyDescent="0.25">
      <c r="B23" s="7" t="s">
        <v>8</v>
      </c>
      <c r="C23" s="16" t="s">
        <v>45</v>
      </c>
      <c r="D23" s="16" t="s">
        <v>162</v>
      </c>
      <c r="E23" s="16" t="s">
        <v>24</v>
      </c>
    </row>
    <row r="24" spans="2:7" ht="18.75" customHeight="1" x14ac:dyDescent="0.25">
      <c r="C24" s="24" t="s">
        <v>46</v>
      </c>
      <c r="D24" s="24">
        <f>_xlfn.BINOM.DIST(5,10,0.5,FALSE())</f>
        <v>0.24609375000000008</v>
      </c>
      <c r="E24" s="34">
        <f>_xlfn.BINOM.DIST(5,10,0.5,FALSE())</f>
        <v>0.24609375000000008</v>
      </c>
    </row>
    <row r="25" spans="2:7" ht="18.75" customHeight="1" x14ac:dyDescent="0.25">
      <c r="C25" s="24" t="s">
        <v>47</v>
      </c>
      <c r="D25" s="24">
        <f>_xlfn.BINOM.DIST(5,10,0.5,TRUE())</f>
        <v>0.623046875</v>
      </c>
      <c r="E25" s="34">
        <f>_xlfn.BINOM.DIST(5,10,0.5,TRUE())</f>
        <v>0.623046875</v>
      </c>
    </row>
    <row r="26" spans="2:7" ht="18.75" customHeight="1" x14ac:dyDescent="0.25">
      <c r="C26" s="5"/>
      <c r="D26" s="5"/>
      <c r="E26" s="5"/>
      <c r="F26" s="5"/>
      <c r="G26" s="5"/>
    </row>
    <row r="27" spans="2:7" ht="18.75" customHeight="1" x14ac:dyDescent="0.25">
      <c r="B27" s="12" t="s">
        <v>195</v>
      </c>
    </row>
    <row r="28" spans="2:7" ht="18.75" customHeight="1" x14ac:dyDescent="0.25"/>
    <row r="29" spans="2:7" ht="18.75" customHeight="1" x14ac:dyDescent="0.25">
      <c r="B29" s="9" t="s">
        <v>184</v>
      </c>
      <c r="C29" s="9" t="s">
        <v>196</v>
      </c>
      <c r="D29" s="9"/>
      <c r="E29" s="9"/>
      <c r="F29" s="9"/>
      <c r="G29" s="9"/>
    </row>
    <row r="30" spans="2:7" ht="18.75" customHeight="1" x14ac:dyDescent="0.25">
      <c r="B30" s="13" t="s">
        <v>197</v>
      </c>
      <c r="C30" s="13"/>
      <c r="D30" s="13"/>
      <c r="E30" s="13"/>
      <c r="F30" s="13"/>
      <c r="G30" s="13"/>
    </row>
    <row r="31" spans="2:7" ht="18.75" customHeight="1" x14ac:dyDescent="0.25">
      <c r="C31" s="5"/>
      <c r="D31" s="14"/>
      <c r="E31" s="14"/>
      <c r="F31" s="14"/>
    </row>
    <row r="32" spans="2:7" ht="18.75" customHeight="1" x14ac:dyDescent="0.25">
      <c r="B32" s="7" t="s">
        <v>8</v>
      </c>
      <c r="C32" s="16" t="s">
        <v>21</v>
      </c>
      <c r="D32" s="16" t="s">
        <v>23</v>
      </c>
      <c r="E32" s="16" t="s">
        <v>24</v>
      </c>
    </row>
    <row r="33" spans="2:6" ht="18.75" customHeight="1" x14ac:dyDescent="0.25">
      <c r="C33" s="24" t="s">
        <v>36</v>
      </c>
      <c r="D33" s="17" t="s">
        <v>48</v>
      </c>
      <c r="E33" s="26">
        <f>100*0.03</f>
        <v>3</v>
      </c>
    </row>
    <row r="34" spans="2:6" ht="18.75" customHeight="1" x14ac:dyDescent="0.25">
      <c r="C34" s="24" t="s">
        <v>19</v>
      </c>
      <c r="D34" s="17" t="s">
        <v>49</v>
      </c>
      <c r="E34" s="34">
        <f>100*0.03*0.97</f>
        <v>2.91</v>
      </c>
    </row>
    <row r="35" spans="2:6" ht="18.75" customHeight="1" x14ac:dyDescent="0.25">
      <c r="C35" s="24" t="s">
        <v>20</v>
      </c>
      <c r="D35" s="17" t="s">
        <v>50</v>
      </c>
      <c r="E35" s="34">
        <f>SQRT(100*0.03*0.97)</f>
        <v>1.7058722109231981</v>
      </c>
    </row>
    <row r="36" spans="2:6" ht="18.75" customHeight="1" x14ac:dyDescent="0.25">
      <c r="C36" s="5"/>
      <c r="D36" s="14"/>
      <c r="E36" s="14"/>
      <c r="F36" s="14"/>
    </row>
    <row r="37" spans="2:6" ht="18.75" customHeight="1" x14ac:dyDescent="0.25">
      <c r="B37" s="12" t="s">
        <v>198</v>
      </c>
    </row>
    <row r="38" spans="2:6" ht="18.75" customHeight="1" x14ac:dyDescent="0.25"/>
    <row r="39" spans="2:6" ht="18.75" customHeight="1" x14ac:dyDescent="0.25"/>
    <row r="40" spans="2:6" ht="18.75" customHeight="1" x14ac:dyDescent="0.25"/>
    <row r="41" spans="2:6" ht="18.75" customHeight="1" x14ac:dyDescent="0.25"/>
    <row r="42" spans="2:6" ht="18.75" customHeight="1" x14ac:dyDescent="0.25"/>
    <row r="43" spans="2:6" ht="18.75" customHeight="1" x14ac:dyDescent="0.25"/>
    <row r="44" spans="2:6" ht="18.75" customHeight="1" x14ac:dyDescent="0.25"/>
    <row r="45" spans="2:6" ht="18.75" customHeight="1" x14ac:dyDescent="0.25"/>
    <row r="46" spans="2:6" ht="18.75" customHeight="1" x14ac:dyDescent="0.25"/>
    <row r="47" spans="2:6" ht="18.75" customHeight="1" x14ac:dyDescent="0.25"/>
    <row r="48" spans="2:6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</sheetData>
  <phoneticPr fontId="11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67"/>
  <sheetViews>
    <sheetView zoomScaleNormal="100" workbookViewId="0"/>
  </sheetViews>
  <sheetFormatPr defaultColWidth="8.7109375" defaultRowHeight="18.75" x14ac:dyDescent="0.25"/>
  <cols>
    <col min="1" max="1" width="4.7109375" style="1" customWidth="1"/>
    <col min="2" max="2" width="12" style="1" customWidth="1"/>
    <col min="3" max="4" width="26.7109375" style="1" customWidth="1"/>
    <col min="5" max="5" width="64" style="1" bestFit="1" customWidth="1"/>
    <col min="6" max="16384" width="8.7109375" style="1"/>
  </cols>
  <sheetData>
    <row r="1" spans="2:6" ht="18.75" customHeight="1" x14ac:dyDescent="0.25"/>
    <row r="2" spans="2:6" ht="30" customHeight="1" x14ac:dyDescent="0.25">
      <c r="B2" s="6" t="s">
        <v>170</v>
      </c>
    </row>
    <row r="3" spans="2:6" ht="18.75" customHeight="1" x14ac:dyDescent="0.25">
      <c r="B3" s="10" t="s">
        <v>171</v>
      </c>
    </row>
    <row r="4" spans="2:6" ht="18.75" customHeight="1" x14ac:dyDescent="0.25"/>
    <row r="5" spans="2:6" ht="18.75" customHeight="1" x14ac:dyDescent="0.25">
      <c r="B5" s="9" t="s">
        <v>172</v>
      </c>
      <c r="C5" s="9" t="s">
        <v>51</v>
      </c>
      <c r="D5" s="9"/>
      <c r="E5" s="9"/>
    </row>
    <row r="6" spans="2:6" ht="18.75" customHeight="1" x14ac:dyDescent="0.25">
      <c r="B6" s="32" t="s">
        <v>173</v>
      </c>
      <c r="C6" s="32"/>
      <c r="D6" s="32"/>
      <c r="E6" s="32"/>
      <c r="F6" s="32"/>
    </row>
    <row r="7" spans="2:6" ht="18.75" customHeight="1" x14ac:dyDescent="0.25">
      <c r="B7" s="5"/>
      <c r="C7" s="5"/>
      <c r="D7" s="5"/>
      <c r="E7" s="5"/>
      <c r="F7" s="5"/>
    </row>
    <row r="8" spans="2:6" ht="18.75" customHeight="1" x14ac:dyDescent="0.25">
      <c r="B8" s="7" t="s">
        <v>8</v>
      </c>
      <c r="C8" s="16" t="s">
        <v>45</v>
      </c>
      <c r="D8" s="16" t="s">
        <v>24</v>
      </c>
      <c r="E8" s="16" t="s">
        <v>162</v>
      </c>
    </row>
    <row r="9" spans="2:6" ht="18.75" customHeight="1" x14ac:dyDescent="0.25">
      <c r="C9" s="24" t="s">
        <v>52</v>
      </c>
      <c r="D9" s="34">
        <f>_xlfn.NORM.S.DIST(1.5,TRUE())</f>
        <v>0.93319279873114191</v>
      </c>
      <c r="E9" s="24" t="str">
        <f ca="1">_xlfn.FORMULATEXT(D9)</f>
        <v>=NORM.S.DIST(1.5,TRUE())</v>
      </c>
    </row>
    <row r="10" spans="2:6" ht="18.75" customHeight="1" x14ac:dyDescent="0.25">
      <c r="C10" s="24" t="s">
        <v>53</v>
      </c>
      <c r="D10" s="34">
        <f>_xlfn.NORM.S.DIST(-1,TRUE())</f>
        <v>0.15865525393145699</v>
      </c>
      <c r="E10" s="24" t="str">
        <f t="shared" ref="E10:E11" ca="1" si="0">_xlfn.FORMULATEXT(D10)</f>
        <v>=NORM.S.DIST(-1,TRUE())</v>
      </c>
    </row>
    <row r="11" spans="2:6" ht="18.75" customHeight="1" x14ac:dyDescent="0.25">
      <c r="C11" s="24" t="s">
        <v>54</v>
      </c>
      <c r="D11" s="34">
        <f>1-_xlfn.NORM.S.DIST(2,TRUE())</f>
        <v>2.2750131948179209E-2</v>
      </c>
      <c r="E11" s="24" t="str">
        <f t="shared" ca="1" si="0"/>
        <v>=1-NORM.S.DIST(2,TRUE())</v>
      </c>
    </row>
    <row r="12" spans="2:6" ht="18.75" customHeight="1" x14ac:dyDescent="0.25"/>
    <row r="13" spans="2:6" ht="18.75" customHeight="1" x14ac:dyDescent="0.25">
      <c r="B13" s="9" t="s">
        <v>174</v>
      </c>
      <c r="C13" s="9" t="s">
        <v>175</v>
      </c>
      <c r="D13" s="9"/>
      <c r="E13" s="9"/>
    </row>
    <row r="14" spans="2:6" ht="18.75" customHeight="1" x14ac:dyDescent="0.25">
      <c r="B14" s="32" t="s">
        <v>176</v>
      </c>
      <c r="C14" s="32"/>
      <c r="D14" s="32"/>
      <c r="E14" s="32"/>
      <c r="F14" s="32"/>
    </row>
    <row r="15" spans="2:6" ht="18.75" customHeight="1" x14ac:dyDescent="0.25">
      <c r="B15" s="5"/>
      <c r="C15" s="5"/>
      <c r="D15" s="5"/>
      <c r="E15" s="5"/>
      <c r="F15" s="5"/>
    </row>
    <row r="16" spans="2:6" ht="18.75" customHeight="1" x14ac:dyDescent="0.25">
      <c r="B16" s="7" t="s">
        <v>8</v>
      </c>
      <c r="C16" s="16" t="s">
        <v>55</v>
      </c>
      <c r="D16" s="16" t="s">
        <v>24</v>
      </c>
      <c r="E16" s="16" t="s">
        <v>162</v>
      </c>
    </row>
    <row r="17" spans="2:6" ht="18.75" customHeight="1" x14ac:dyDescent="0.25">
      <c r="C17" s="24" t="s">
        <v>56</v>
      </c>
      <c r="D17" s="34">
        <f>_xlfn.NORM.S.DIST(1,TRUE())-_xlfn.NORM.S.DIST(-1,TRUE())</f>
        <v>0.68268949213708607</v>
      </c>
      <c r="E17" s="24" t="str">
        <f ca="1">_xlfn.FORMULATEXT(D17)</f>
        <v>=NORM.S.DIST(1,TRUE())-NORM.S.DIST(-1,TRUE())</v>
      </c>
    </row>
    <row r="18" spans="2:6" ht="18.75" customHeight="1" x14ac:dyDescent="0.25">
      <c r="C18" s="24" t="s">
        <v>57</v>
      </c>
      <c r="D18" s="34">
        <f>_xlfn.NORM.S.DIST(2,TRUE())-_xlfn.NORM.S.DIST(-2,TRUE())</f>
        <v>0.95449973610364158</v>
      </c>
      <c r="E18" s="24" t="str">
        <f t="shared" ref="E18:E19" ca="1" si="1">_xlfn.FORMULATEXT(D18)</f>
        <v>=NORM.S.DIST(2,TRUE())-NORM.S.DIST(-2,TRUE())</v>
      </c>
    </row>
    <row r="19" spans="2:6" ht="18.75" customHeight="1" x14ac:dyDescent="0.25">
      <c r="C19" s="24" t="s">
        <v>58</v>
      </c>
      <c r="D19" s="34">
        <f>_xlfn.NORM.S.DIST(3,TRUE())-_xlfn.NORM.S.DIST(-3,TRUE())</f>
        <v>0.99730020393673979</v>
      </c>
      <c r="E19" s="24" t="str">
        <f t="shared" ca="1" si="1"/>
        <v>=NORM.S.DIST(3,TRUE())-NORM.S.DIST(-3,TRUE())</v>
      </c>
    </row>
    <row r="20" spans="2:6" ht="18.75" customHeight="1" x14ac:dyDescent="0.25">
      <c r="B20" s="5"/>
      <c r="C20" s="5"/>
      <c r="D20" s="5"/>
      <c r="E20" s="5"/>
      <c r="F20" s="5"/>
    </row>
    <row r="21" spans="2:6" ht="18.75" customHeight="1" x14ac:dyDescent="0.25">
      <c r="B21" s="12" t="s">
        <v>177</v>
      </c>
    </row>
    <row r="22" spans="2:6" ht="18.75" customHeight="1" x14ac:dyDescent="0.25"/>
    <row r="23" spans="2:6" ht="18.75" customHeight="1" x14ac:dyDescent="0.25">
      <c r="B23" s="9" t="s">
        <v>178</v>
      </c>
      <c r="C23" s="9" t="s">
        <v>179</v>
      </c>
      <c r="D23" s="9"/>
      <c r="E23" s="9"/>
    </row>
    <row r="24" spans="2:6" ht="18.75" customHeight="1" x14ac:dyDescent="0.25">
      <c r="B24" s="32" t="s">
        <v>180</v>
      </c>
      <c r="C24" s="32"/>
      <c r="D24" s="32"/>
      <c r="E24" s="32"/>
      <c r="F24" s="32"/>
    </row>
    <row r="25" spans="2:6" ht="18.75" customHeight="1" x14ac:dyDescent="0.25">
      <c r="B25" s="5"/>
      <c r="C25" s="5"/>
      <c r="D25" s="5"/>
      <c r="E25" s="5"/>
      <c r="F25" s="5"/>
    </row>
    <row r="26" spans="2:6" ht="18.75" customHeight="1" x14ac:dyDescent="0.25">
      <c r="B26" s="7" t="s">
        <v>8</v>
      </c>
      <c r="C26" s="16" t="s">
        <v>59</v>
      </c>
      <c r="D26" s="16" t="s">
        <v>24</v>
      </c>
    </row>
    <row r="27" spans="2:6" ht="18.75" customHeight="1" x14ac:dyDescent="0.25">
      <c r="C27" s="24" t="s">
        <v>181</v>
      </c>
      <c r="D27" s="17">
        <f>(176-170)/6</f>
        <v>1</v>
      </c>
    </row>
    <row r="28" spans="2:6" ht="18.75" customHeight="1" x14ac:dyDescent="0.25">
      <c r="C28" s="24" t="s">
        <v>60</v>
      </c>
      <c r="D28" s="34">
        <f>1-_xlfn.NORM.S.DIST(1,TRUE())</f>
        <v>0.15865525393145696</v>
      </c>
    </row>
    <row r="29" spans="2:6" ht="18.75" customHeight="1" x14ac:dyDescent="0.25">
      <c r="C29" s="24" t="s">
        <v>182</v>
      </c>
      <c r="D29" s="34">
        <f>1-_xlfn.NORM.DIST(176,170,6,TRUE())</f>
        <v>0.15865525393145696</v>
      </c>
    </row>
    <row r="30" spans="2:6" ht="18.75" customHeight="1" x14ac:dyDescent="0.25">
      <c r="B30" s="5"/>
      <c r="C30" s="5"/>
      <c r="D30" s="5"/>
      <c r="E30" s="5"/>
      <c r="F30" s="5"/>
    </row>
    <row r="31" spans="2:6" ht="18.75" customHeight="1" x14ac:dyDescent="0.25">
      <c r="B31" s="12" t="s">
        <v>183</v>
      </c>
    </row>
    <row r="32" spans="2:6" ht="18.75" customHeight="1" x14ac:dyDescent="0.25"/>
    <row r="33" spans="2:6" ht="18.75" customHeight="1" x14ac:dyDescent="0.25">
      <c r="B33" s="9" t="s">
        <v>184</v>
      </c>
      <c r="C33" s="9" t="s">
        <v>61</v>
      </c>
      <c r="D33" s="9"/>
      <c r="E33" s="9"/>
    </row>
    <row r="34" spans="2:6" ht="18.75" customHeight="1" x14ac:dyDescent="0.25">
      <c r="B34" s="32" t="s">
        <v>185</v>
      </c>
      <c r="C34" s="32"/>
      <c r="D34" s="32"/>
      <c r="E34" s="32"/>
      <c r="F34" s="32"/>
    </row>
    <row r="35" spans="2:6" ht="18.75" customHeight="1" x14ac:dyDescent="0.25">
      <c r="B35" s="5"/>
      <c r="C35" s="5"/>
      <c r="D35" s="5"/>
      <c r="E35" s="5"/>
      <c r="F35" s="5"/>
    </row>
    <row r="36" spans="2:6" ht="18.75" customHeight="1" x14ac:dyDescent="0.25">
      <c r="B36" s="7" t="s">
        <v>8</v>
      </c>
      <c r="C36" s="16" t="s">
        <v>59</v>
      </c>
      <c r="D36" s="16" t="s">
        <v>24</v>
      </c>
      <c r="E36" s="16" t="s">
        <v>23</v>
      </c>
    </row>
    <row r="37" spans="2:6" ht="18.75" customHeight="1" x14ac:dyDescent="0.25">
      <c r="C37" s="24" t="s">
        <v>62</v>
      </c>
      <c r="D37" s="17">
        <f>100*0.5</f>
        <v>50</v>
      </c>
      <c r="E37" s="24" t="str">
        <f ca="1">_xlfn.FORMULATEXT(D27)</f>
        <v>=(176-170)/6</v>
      </c>
    </row>
    <row r="38" spans="2:6" ht="18.75" customHeight="1" x14ac:dyDescent="0.25">
      <c r="C38" s="24" t="s">
        <v>63</v>
      </c>
      <c r="D38" s="17">
        <f>SQRT(100*0.5*0.5)</f>
        <v>5</v>
      </c>
      <c r="E38" s="24" t="str">
        <f ca="1">_xlfn.FORMULATEXT(D28)</f>
        <v>=1-NORM.S.DIST(1,TRUE())</v>
      </c>
    </row>
    <row r="39" spans="2:6" ht="18.75" customHeight="1" x14ac:dyDescent="0.25">
      <c r="C39" s="24" t="s">
        <v>181</v>
      </c>
      <c r="D39" s="17">
        <f>(60-50)/5</f>
        <v>2</v>
      </c>
      <c r="E39" s="24" t="str">
        <f ca="1">_xlfn.FORMULATEXT(D29)</f>
        <v>=1-NORM.DIST(176,170,6,TRUE())</v>
      </c>
    </row>
    <row r="40" spans="2:6" ht="18.75" customHeight="1" x14ac:dyDescent="0.25">
      <c r="C40" s="24" t="s">
        <v>54</v>
      </c>
      <c r="D40" s="25">
        <f>1-_xlfn.NORM.S.DIST(2,TRUE())</f>
        <v>2.2750131948179209E-2</v>
      </c>
      <c r="E40" s="24" t="s">
        <v>64</v>
      </c>
    </row>
    <row r="41" spans="2:6" ht="18.75" customHeight="1" x14ac:dyDescent="0.25">
      <c r="C41" s="24" t="s">
        <v>186</v>
      </c>
      <c r="D41" s="23">
        <f>1-_xlfn.BINOM.DIST(59,100,0.5,TRUE())</f>
        <v>2.844396682049033E-2</v>
      </c>
      <c r="E41" s="28" t="s">
        <v>65</v>
      </c>
    </row>
    <row r="42" spans="2:6" ht="18.75" customHeight="1" x14ac:dyDescent="0.25">
      <c r="C42" s="5"/>
      <c r="D42" s="14"/>
      <c r="E42" s="27"/>
    </row>
    <row r="43" spans="2:6" ht="18.75" customHeight="1" x14ac:dyDescent="0.25">
      <c r="B43" s="12" t="s">
        <v>187</v>
      </c>
    </row>
    <row r="44" spans="2:6" ht="18.75" customHeight="1" x14ac:dyDescent="0.25"/>
    <row r="45" spans="2:6" ht="18.75" customHeight="1" x14ac:dyDescent="0.25"/>
    <row r="46" spans="2:6" ht="18.75" customHeight="1" x14ac:dyDescent="0.25"/>
    <row r="47" spans="2:6" ht="18.75" customHeight="1" x14ac:dyDescent="0.25"/>
    <row r="48" spans="2:6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</sheetData>
  <mergeCells count="4">
    <mergeCell ref="B6:F6"/>
    <mergeCell ref="B14:F14"/>
    <mergeCell ref="B24:F24"/>
    <mergeCell ref="B34:F34"/>
  </mergeCells>
  <phoneticPr fontId="11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66"/>
  <sheetViews>
    <sheetView zoomScaleNormal="100" workbookViewId="0"/>
  </sheetViews>
  <sheetFormatPr defaultColWidth="8.7109375" defaultRowHeight="18.75" x14ac:dyDescent="0.25"/>
  <cols>
    <col min="1" max="1" width="4.7109375" style="1" customWidth="1"/>
    <col min="2" max="2" width="8" style="1" customWidth="1"/>
    <col min="3" max="12" width="9" style="1" customWidth="1"/>
    <col min="13" max="14" width="8.7109375" style="1"/>
    <col min="15" max="15" width="11.42578125" style="1" customWidth="1"/>
    <col min="16" max="16384" width="8.7109375" style="1"/>
  </cols>
  <sheetData>
    <row r="1" spans="2:15" ht="18.75" customHeight="1" x14ac:dyDescent="0.25"/>
    <row r="2" spans="2:15" ht="30" customHeight="1" x14ac:dyDescent="0.25">
      <c r="B2" s="6" t="s">
        <v>133</v>
      </c>
    </row>
    <row r="3" spans="2:15" ht="18.75" customHeight="1" x14ac:dyDescent="0.25">
      <c r="B3" s="10" t="s">
        <v>134</v>
      </c>
    </row>
    <row r="4" spans="2:15" ht="18.75" customHeight="1" x14ac:dyDescent="0.25"/>
    <row r="5" spans="2:15" ht="18.75" customHeight="1" x14ac:dyDescent="0.25">
      <c r="B5" s="16" t="s">
        <v>78</v>
      </c>
      <c r="C5" s="16" t="s">
        <v>79</v>
      </c>
      <c r="D5" s="16" t="s">
        <v>80</v>
      </c>
      <c r="E5" s="16" t="s">
        <v>81</v>
      </c>
      <c r="F5" s="16" t="s">
        <v>82</v>
      </c>
      <c r="G5" s="16" t="s">
        <v>83</v>
      </c>
      <c r="H5" s="16" t="s">
        <v>84</v>
      </c>
      <c r="I5" s="16" t="s">
        <v>85</v>
      </c>
      <c r="J5" s="16" t="s">
        <v>86</v>
      </c>
      <c r="K5" s="16" t="s">
        <v>87</v>
      </c>
      <c r="L5" s="16" t="s">
        <v>88</v>
      </c>
      <c r="N5" s="16" t="s">
        <v>78</v>
      </c>
      <c r="O5" s="16" t="s">
        <v>219</v>
      </c>
    </row>
    <row r="6" spans="2:15" ht="18.75" customHeight="1" x14ac:dyDescent="0.25">
      <c r="B6" s="17" t="s">
        <v>89</v>
      </c>
      <c r="C6" s="23">
        <f>_xlfn.NORM.S.DIST($B6+C$5,TRUE())-0.5</f>
        <v>0</v>
      </c>
      <c r="D6" s="23">
        <f t="shared" ref="D6:L21" si="0">_xlfn.NORM.S.DIST($B6+D$5,TRUE())-0.5</f>
        <v>3.989356314631598E-3</v>
      </c>
      <c r="E6" s="23">
        <f t="shared" si="0"/>
        <v>7.9783137169020524E-3</v>
      </c>
      <c r="F6" s="23">
        <f t="shared" si="0"/>
        <v>1.1966473414112722E-2</v>
      </c>
      <c r="G6" s="23">
        <f t="shared" si="0"/>
        <v>1.5953436852830682E-2</v>
      </c>
      <c r="H6" s="23">
        <f t="shared" si="0"/>
        <v>1.9938805838372486E-2</v>
      </c>
      <c r="I6" s="23">
        <f t="shared" si="0"/>
        <v>2.3922182654106838E-2</v>
      </c>
      <c r="J6" s="23">
        <f t="shared" si="0"/>
        <v>2.7903170180521131E-2</v>
      </c>
      <c r="K6" s="23">
        <f t="shared" si="0"/>
        <v>3.1881372013987441E-2</v>
      </c>
      <c r="L6" s="23">
        <f t="shared" si="0"/>
        <v>3.5856392585172037E-2</v>
      </c>
      <c r="N6" s="17">
        <v>-3</v>
      </c>
      <c r="O6" s="23">
        <f>_xlfn.NORM.S.DIST(N6,FALSE)</f>
        <v>4.4318484119380075E-3</v>
      </c>
    </row>
    <row r="7" spans="2:15" ht="18.75" customHeight="1" x14ac:dyDescent="0.25">
      <c r="B7" s="17" t="s">
        <v>90</v>
      </c>
      <c r="C7" s="23">
        <f t="shared" ref="C7:L36" si="1">_xlfn.NORM.S.DIST($B7+C$5,TRUE())-0.5</f>
        <v>3.9827837277028988E-2</v>
      </c>
      <c r="D7" s="23">
        <f t="shared" si="0"/>
        <v>4.3795312542316722E-2</v>
      </c>
      <c r="E7" s="23">
        <f t="shared" si="0"/>
        <v>4.7758426020583888E-2</v>
      </c>
      <c r="F7" s="23">
        <f t="shared" si="0"/>
        <v>5.1716786654561142E-2</v>
      </c>
      <c r="G7" s="23">
        <f t="shared" si="0"/>
        <v>5.5670004805906448E-2</v>
      </c>
      <c r="H7" s="23">
        <f t="shared" si="0"/>
        <v>5.9617692370242503E-2</v>
      </c>
      <c r="I7" s="23">
        <f t="shared" si="0"/>
        <v>6.3559462891432883E-2</v>
      </c>
      <c r="J7" s="23">
        <f t="shared" si="0"/>
        <v>6.7494931675038394E-2</v>
      </c>
      <c r="K7" s="23">
        <f t="shared" si="0"/>
        <v>7.1423715900900797E-2</v>
      </c>
      <c r="L7" s="23">
        <f t="shared" si="0"/>
        <v>7.5345434734795491E-2</v>
      </c>
      <c r="N7" s="17">
        <v>-2.9</v>
      </c>
      <c r="O7" s="23">
        <f t="shared" ref="O7:O66" si="2">_xlfn.NORM.S.DIST(N7,FALSE)</f>
        <v>5.9525324197758538E-3</v>
      </c>
    </row>
    <row r="8" spans="2:15" ht="18.75" customHeight="1" x14ac:dyDescent="0.25">
      <c r="B8" s="17" t="s">
        <v>91</v>
      </c>
      <c r="C8" s="23">
        <f t="shared" si="1"/>
        <v>7.9259709439102988E-2</v>
      </c>
      <c r="D8" s="23">
        <f t="shared" si="0"/>
        <v>8.3166163482442323E-2</v>
      </c>
      <c r="E8" s="23">
        <f t="shared" si="0"/>
        <v>8.7064422648214679E-2</v>
      </c>
      <c r="F8" s="23">
        <f t="shared" si="0"/>
        <v>9.0954115142005909E-2</v>
      </c>
      <c r="G8" s="23">
        <f t="shared" si="0"/>
        <v>9.4834871697795808E-2</v>
      </c>
      <c r="H8" s="23">
        <f t="shared" si="0"/>
        <v>9.8706325682923701E-2</v>
      </c>
      <c r="I8" s="23">
        <f t="shared" si="0"/>
        <v>0.10256811320176051</v>
      </c>
      <c r="J8" s="23">
        <f t="shared" si="0"/>
        <v>0.10641987319803947</v>
      </c>
      <c r="K8" s="23">
        <f t="shared" si="0"/>
        <v>0.11026124755579725</v>
      </c>
      <c r="L8" s="23">
        <f t="shared" si="0"/>
        <v>0.11409188119887737</v>
      </c>
      <c r="N8" s="17">
        <v>-2.8</v>
      </c>
      <c r="O8" s="23">
        <f t="shared" si="2"/>
        <v>7.9154515829799686E-3</v>
      </c>
    </row>
    <row r="9" spans="2:15" ht="18.75" customHeight="1" x14ac:dyDescent="0.25">
      <c r="B9" s="17" t="s">
        <v>92</v>
      </c>
      <c r="C9" s="23">
        <f t="shared" si="1"/>
        <v>0.11791142218895267</v>
      </c>
      <c r="D9" s="23">
        <f t="shared" si="0"/>
        <v>0.12171952182201928</v>
      </c>
      <c r="E9" s="23">
        <f t="shared" si="0"/>
        <v>0.12551583472332006</v>
      </c>
      <c r="F9" s="23">
        <f t="shared" si="0"/>
        <v>0.12930001894065346</v>
      </c>
      <c r="G9" s="23">
        <f t="shared" si="0"/>
        <v>0.13307173603602807</v>
      </c>
      <c r="H9" s="23">
        <f t="shared" si="0"/>
        <v>0.1368306511756191</v>
      </c>
      <c r="I9" s="23">
        <f t="shared" si="0"/>
        <v>0.14057643321799129</v>
      </c>
      <c r="J9" s="23">
        <f t="shared" si="0"/>
        <v>0.14430875480054683</v>
      </c>
      <c r="K9" s="23">
        <f t="shared" si="0"/>
        <v>0.14802729242416279</v>
      </c>
      <c r="L9" s="23">
        <f t="shared" si="0"/>
        <v>0.15173172653598244</v>
      </c>
      <c r="N9" s="17">
        <v>-2.7</v>
      </c>
      <c r="O9" s="23">
        <f t="shared" si="2"/>
        <v>1.0420934814422592E-2</v>
      </c>
    </row>
    <row r="10" spans="2:15" ht="18.75" customHeight="1" x14ac:dyDescent="0.25">
      <c r="B10" s="17" t="s">
        <v>93</v>
      </c>
      <c r="C10" s="23">
        <f t="shared" si="1"/>
        <v>0.15542174161032429</v>
      </c>
      <c r="D10" s="23">
        <f t="shared" si="0"/>
        <v>0.15909702622767741</v>
      </c>
      <c r="E10" s="23">
        <f t="shared" si="0"/>
        <v>0.16275727315175059</v>
      </c>
      <c r="F10" s="23">
        <f t="shared" si="0"/>
        <v>0.16640217940454238</v>
      </c>
      <c r="G10" s="23">
        <f t="shared" si="0"/>
        <v>0.17003144633940637</v>
      </c>
      <c r="H10" s="23">
        <f t="shared" si="0"/>
        <v>0.17364477971208003</v>
      </c>
      <c r="I10" s="23">
        <f t="shared" si="0"/>
        <v>0.17724188974965227</v>
      </c>
      <c r="J10" s="23">
        <f t="shared" si="0"/>
        <v>0.1808224912174442</v>
      </c>
      <c r="K10" s="23">
        <f t="shared" si="0"/>
        <v>0.18438630348377749</v>
      </c>
      <c r="L10" s="23">
        <f t="shared" si="0"/>
        <v>0.18793305058260945</v>
      </c>
      <c r="N10" s="17">
        <v>-2.6</v>
      </c>
      <c r="O10" s="23">
        <f t="shared" si="2"/>
        <v>1.3582969233685613E-2</v>
      </c>
    </row>
    <row r="11" spans="2:15" ht="18.75" customHeight="1" x14ac:dyDescent="0.25">
      <c r="B11" s="17" t="s">
        <v>94</v>
      </c>
      <c r="C11" s="23">
        <f t="shared" si="1"/>
        <v>0.19146246127401312</v>
      </c>
      <c r="D11" s="23">
        <f t="shared" si="0"/>
        <v>0.19497426910248061</v>
      </c>
      <c r="E11" s="23">
        <f t="shared" si="0"/>
        <v>0.19846821245303381</v>
      </c>
      <c r="F11" s="23">
        <f t="shared" si="0"/>
        <v>0.20194403460512356</v>
      </c>
      <c r="G11" s="23">
        <f t="shared" si="0"/>
        <v>0.20540148378430201</v>
      </c>
      <c r="H11" s="23">
        <f t="shared" si="0"/>
        <v>0.20884031321165364</v>
      </c>
      <c r="I11" s="23">
        <f t="shared" si="0"/>
        <v>0.21226028115097295</v>
      </c>
      <c r="J11" s="23">
        <f t="shared" si="0"/>
        <v>0.21566115095367588</v>
      </c>
      <c r="K11" s="23">
        <f t="shared" si="0"/>
        <v>0.2190426911014357</v>
      </c>
      <c r="L11" s="23">
        <f t="shared" si="0"/>
        <v>0.22240467524653507</v>
      </c>
      <c r="N11" s="17">
        <v>-2.5</v>
      </c>
      <c r="O11" s="23">
        <f t="shared" si="2"/>
        <v>1.752830049356854E-2</v>
      </c>
    </row>
    <row r="12" spans="2:15" ht="18.75" customHeight="1" x14ac:dyDescent="0.25">
      <c r="B12" s="17" t="s">
        <v>95</v>
      </c>
      <c r="C12" s="23">
        <f t="shared" si="1"/>
        <v>0.22574688224992645</v>
      </c>
      <c r="D12" s="23">
        <f t="shared" si="0"/>
        <v>0.22906909621699434</v>
      </c>
      <c r="E12" s="23">
        <f t="shared" si="0"/>
        <v>0.232371106531017</v>
      </c>
      <c r="F12" s="23">
        <f t="shared" si="0"/>
        <v>0.23565270788432247</v>
      </c>
      <c r="G12" s="23">
        <f t="shared" si="0"/>
        <v>0.23891370030713843</v>
      </c>
      <c r="H12" s="23">
        <f t="shared" si="0"/>
        <v>0.24215388919413527</v>
      </c>
      <c r="I12" s="23">
        <f t="shared" si="0"/>
        <v>0.24537308532866386</v>
      </c>
      <c r="J12" s="23">
        <f t="shared" si="0"/>
        <v>0.24857110490468992</v>
      </c>
      <c r="K12" s="23">
        <f t="shared" si="0"/>
        <v>0.25174776954642952</v>
      </c>
      <c r="L12" s="23">
        <f t="shared" si="0"/>
        <v>0.25490290632569057</v>
      </c>
      <c r="N12" s="17">
        <v>-2.4</v>
      </c>
      <c r="O12" s="23">
        <f t="shared" si="2"/>
        <v>2.2394530294842899E-2</v>
      </c>
    </row>
    <row r="13" spans="2:15" ht="18.75" customHeight="1" x14ac:dyDescent="0.25">
      <c r="B13" s="17" t="s">
        <v>96</v>
      </c>
      <c r="C13" s="23">
        <f t="shared" si="1"/>
        <v>0.25803634777692697</v>
      </c>
      <c r="D13" s="23">
        <f t="shared" si="0"/>
        <v>0.26114793191001329</v>
      </c>
      <c r="E13" s="23">
        <f t="shared" si="0"/>
        <v>0.26423750222074882</v>
      </c>
      <c r="F13" s="23">
        <f t="shared" si="0"/>
        <v>0.26730490769910253</v>
      </c>
      <c r="G13" s="23">
        <f t="shared" si="0"/>
        <v>0.27035000283520938</v>
      </c>
      <c r="H13" s="23">
        <f t="shared" si="0"/>
        <v>0.27337264762313174</v>
      </c>
      <c r="I13" s="23">
        <f t="shared" si="0"/>
        <v>0.27637270756240062</v>
      </c>
      <c r="J13" s="23">
        <f t="shared" si="0"/>
        <v>0.27935005365735044</v>
      </c>
      <c r="K13" s="23">
        <f t="shared" si="0"/>
        <v>0.28230456241426682</v>
      </c>
      <c r="L13" s="23">
        <f t="shared" si="0"/>
        <v>0.28523611583636277</v>
      </c>
      <c r="N13" s="17">
        <v>-2.2999999999999998</v>
      </c>
      <c r="O13" s="23">
        <f t="shared" si="2"/>
        <v>2.8327037741601186E-2</v>
      </c>
    </row>
    <row r="14" spans="2:15" ht="18.75" customHeight="1" x14ac:dyDescent="0.25">
      <c r="B14" s="17" t="s">
        <v>97</v>
      </c>
      <c r="C14" s="23">
        <f t="shared" si="1"/>
        <v>0.28814460141660336</v>
      </c>
      <c r="D14" s="23">
        <f t="shared" si="0"/>
        <v>0.29102991212839835</v>
      </c>
      <c r="E14" s="23">
        <f t="shared" si="0"/>
        <v>0.29389194641418692</v>
      </c>
      <c r="F14" s="23">
        <f t="shared" si="0"/>
        <v>0.29673060817193164</v>
      </c>
      <c r="G14" s="23">
        <f t="shared" si="0"/>
        <v>0.29954580673955034</v>
      </c>
      <c r="H14" s="23">
        <f t="shared" si="0"/>
        <v>0.30233745687730762</v>
      </c>
      <c r="I14" s="23">
        <f t="shared" si="0"/>
        <v>0.30510547874819172</v>
      </c>
      <c r="J14" s="23">
        <f t="shared" si="0"/>
        <v>0.30784979789630385</v>
      </c>
      <c r="K14" s="23">
        <f t="shared" si="0"/>
        <v>0.31057034522328786</v>
      </c>
      <c r="L14" s="23">
        <f t="shared" si="0"/>
        <v>0.31326705696282742</v>
      </c>
      <c r="N14" s="17">
        <v>-2.2000000000000002</v>
      </c>
      <c r="O14" s="23">
        <f t="shared" si="2"/>
        <v>3.5474592846231424E-2</v>
      </c>
    </row>
    <row r="15" spans="2:15" ht="18.75" customHeight="1" x14ac:dyDescent="0.25">
      <c r="B15" s="17" t="s">
        <v>98</v>
      </c>
      <c r="C15" s="23">
        <f t="shared" si="1"/>
        <v>0.31593987465324047</v>
      </c>
      <c r="D15" s="23">
        <f t="shared" si="0"/>
        <v>0.31858874510820279</v>
      </c>
      <c r="E15" s="23">
        <f t="shared" si="0"/>
        <v>0.32121362038562828</v>
      </c>
      <c r="F15" s="23">
        <f t="shared" si="0"/>
        <v>0.32381445775474216</v>
      </c>
      <c r="G15" s="23">
        <f t="shared" si="0"/>
        <v>0.32639121966137552</v>
      </c>
      <c r="H15" s="23">
        <f t="shared" si="0"/>
        <v>0.32894387369151823</v>
      </c>
      <c r="I15" s="23">
        <f t="shared" si="0"/>
        <v>0.33147239253316219</v>
      </c>
      <c r="J15" s="23">
        <f t="shared" si="0"/>
        <v>0.33397675393647042</v>
      </c>
      <c r="K15" s="23">
        <f t="shared" si="0"/>
        <v>0.33645694067230769</v>
      </c>
      <c r="L15" s="23">
        <f t="shared" si="0"/>
        <v>0.33891294048916909</v>
      </c>
      <c r="N15" s="17">
        <v>-2.1</v>
      </c>
      <c r="O15" s="23">
        <f t="shared" si="2"/>
        <v>4.3983595980427191E-2</v>
      </c>
    </row>
    <row r="16" spans="2:15" ht="18.75" customHeight="1" x14ac:dyDescent="0.25">
      <c r="B16" s="17" t="s">
        <v>99</v>
      </c>
      <c r="C16" s="23">
        <f t="shared" si="1"/>
        <v>0.34134474606854304</v>
      </c>
      <c r="D16" s="23">
        <f t="shared" si="0"/>
        <v>0.34375235497874546</v>
      </c>
      <c r="E16" s="23">
        <f t="shared" si="0"/>
        <v>0.34613576962726511</v>
      </c>
      <c r="F16" s="23">
        <f t="shared" si="0"/>
        <v>0.34849499721165633</v>
      </c>
      <c r="G16" s="23">
        <f t="shared" si="0"/>
        <v>0.35083004966901865</v>
      </c>
      <c r="H16" s="23">
        <f t="shared" si="0"/>
        <v>0.35314094362410409</v>
      </c>
      <c r="I16" s="23">
        <f t="shared" si="0"/>
        <v>0.35542770033609039</v>
      </c>
      <c r="J16" s="23">
        <f t="shared" si="0"/>
        <v>0.35769034564406077</v>
      </c>
      <c r="K16" s="23">
        <f t="shared" si="0"/>
        <v>0.35992890991123094</v>
      </c>
      <c r="L16" s="23">
        <f t="shared" si="0"/>
        <v>0.3621434279679645</v>
      </c>
      <c r="N16" s="17">
        <v>-2</v>
      </c>
      <c r="O16" s="23">
        <f t="shared" si="2"/>
        <v>5.3990966513188063E-2</v>
      </c>
    </row>
    <row r="17" spans="2:15" ht="18.75" customHeight="1" x14ac:dyDescent="0.25">
      <c r="B17" s="17" t="s">
        <v>100</v>
      </c>
      <c r="C17" s="23">
        <f t="shared" si="1"/>
        <v>0.36433393905361733</v>
      </c>
      <c r="D17" s="23">
        <f t="shared" si="0"/>
        <v>0.36650048675725277</v>
      </c>
      <c r="E17" s="23">
        <f t="shared" si="0"/>
        <v>0.36864311895726931</v>
      </c>
      <c r="F17" s="23">
        <f t="shared" si="0"/>
        <v>0.3707618877599822</v>
      </c>
      <c r="G17" s="23">
        <f t="shared" si="0"/>
        <v>0.37285684943720176</v>
      </c>
      <c r="H17" s="23">
        <f t="shared" si="0"/>
        <v>0.37492806436284987</v>
      </c>
      <c r="I17" s="23">
        <f t="shared" si="0"/>
        <v>0.37697559694865668</v>
      </c>
      <c r="J17" s="23">
        <f t="shared" si="0"/>
        <v>0.37899951557898182</v>
      </c>
      <c r="K17" s="23">
        <f t="shared" si="0"/>
        <v>0.38099989254479938</v>
      </c>
      <c r="L17" s="23">
        <f t="shared" si="0"/>
        <v>0.38297680397689127</v>
      </c>
      <c r="N17" s="17">
        <v>-1.9</v>
      </c>
      <c r="O17" s="23">
        <f t="shared" si="2"/>
        <v>6.5615814774676595E-2</v>
      </c>
    </row>
    <row r="18" spans="2:15" ht="18.75" customHeight="1" x14ac:dyDescent="0.25">
      <c r="B18" s="17" t="s">
        <v>101</v>
      </c>
      <c r="C18" s="23">
        <f t="shared" si="1"/>
        <v>0.38493032977829178</v>
      </c>
      <c r="D18" s="23">
        <f t="shared" si="0"/>
        <v>0.38686055355602278</v>
      </c>
      <c r="E18" s="23">
        <f t="shared" si="0"/>
        <v>0.38876756255216538</v>
      </c>
      <c r="F18" s="23">
        <f t="shared" si="0"/>
        <v>0.39065144757430814</v>
      </c>
      <c r="G18" s="23">
        <f t="shared" si="0"/>
        <v>0.39251230292541306</v>
      </c>
      <c r="H18" s="23">
        <f t="shared" si="0"/>
        <v>0.39435022633314476</v>
      </c>
      <c r="I18" s="23">
        <f t="shared" si="0"/>
        <v>0.39616531887869966</v>
      </c>
      <c r="J18" s="23">
        <f t="shared" si="0"/>
        <v>0.39795768492518091</v>
      </c>
      <c r="K18" s="23">
        <f t="shared" si="0"/>
        <v>0.39972743204555794</v>
      </c>
      <c r="L18" s="23">
        <f t="shared" si="0"/>
        <v>0.40147467095025213</v>
      </c>
      <c r="N18" s="17">
        <v>-1.8</v>
      </c>
      <c r="O18" s="23">
        <f t="shared" si="2"/>
        <v>7.8950158300894149E-2</v>
      </c>
    </row>
    <row r="19" spans="2:15" ht="18.75" customHeight="1" x14ac:dyDescent="0.25">
      <c r="B19" s="17" t="s">
        <v>102</v>
      </c>
      <c r="C19" s="23">
        <f t="shared" si="1"/>
        <v>0.4031995154143897</v>
      </c>
      <c r="D19" s="23">
        <f t="shared" si="0"/>
        <v>0.40490208220476098</v>
      </c>
      <c r="E19" s="23">
        <f t="shared" si="0"/>
        <v>0.40658249100652821</v>
      </c>
      <c r="F19" s="23">
        <f t="shared" si="0"/>
        <v>0.40824086434971918</v>
      </c>
      <c r="G19" s="23">
        <f t="shared" si="0"/>
        <v>0.40987732753554751</v>
      </c>
      <c r="H19" s="23">
        <f t="shared" si="0"/>
        <v>0.41149200856259804</v>
      </c>
      <c r="I19" s="23">
        <f t="shared" si="0"/>
        <v>0.41308503805291497</v>
      </c>
      <c r="J19" s="23">
        <f t="shared" si="0"/>
        <v>0.41465654917803307</v>
      </c>
      <c r="K19" s="23">
        <f t="shared" si="0"/>
        <v>0.41620667758498575</v>
      </c>
      <c r="L19" s="23">
        <f t="shared" si="0"/>
        <v>0.41773556132233114</v>
      </c>
      <c r="N19" s="17">
        <v>-1.7</v>
      </c>
      <c r="O19" s="23">
        <f t="shared" si="2"/>
        <v>9.4049077376886947E-2</v>
      </c>
    </row>
    <row r="20" spans="2:15" ht="18.75" customHeight="1" x14ac:dyDescent="0.25">
      <c r="B20" s="17" t="s">
        <v>103</v>
      </c>
      <c r="C20" s="23">
        <f t="shared" si="1"/>
        <v>0.41924334076622893</v>
      </c>
      <c r="D20" s="23">
        <f t="shared" si="0"/>
        <v>0.42073015854660756</v>
      </c>
      <c r="E20" s="23">
        <f t="shared" si="0"/>
        <v>0.42219615947345368</v>
      </c>
      <c r="F20" s="23">
        <f t="shared" si="0"/>
        <v>0.42364149046326083</v>
      </c>
      <c r="G20" s="23">
        <f t="shared" si="0"/>
        <v>0.42506630046567295</v>
      </c>
      <c r="H20" s="23">
        <f t="shared" si="0"/>
        <v>0.4264707403903516</v>
      </c>
      <c r="I20" s="23">
        <f t="shared" si="0"/>
        <v>0.42785496303410619</v>
      </c>
      <c r="J20" s="23">
        <f t="shared" si="0"/>
        <v>0.42921912300831444</v>
      </c>
      <c r="K20" s="23">
        <f t="shared" si="0"/>
        <v>0.43056337666666833</v>
      </c>
      <c r="L20" s="23">
        <f t="shared" si="0"/>
        <v>0.43188788203327455</v>
      </c>
      <c r="N20" s="17">
        <v>-1.6</v>
      </c>
      <c r="O20" s="23">
        <f t="shared" si="2"/>
        <v>0.11092083467945554</v>
      </c>
    </row>
    <row r="21" spans="2:15" ht="18.75" customHeight="1" x14ac:dyDescent="0.25">
      <c r="B21" s="17" t="s">
        <v>104</v>
      </c>
      <c r="C21" s="23">
        <f t="shared" si="1"/>
        <v>0.43319279873114191</v>
      </c>
      <c r="D21" s="23">
        <f t="shared" si="0"/>
        <v>0.43447828791108356</v>
      </c>
      <c r="E21" s="23">
        <f t="shared" si="0"/>
        <v>0.43574451218106425</v>
      </c>
      <c r="F21" s="23">
        <f t="shared" si="0"/>
        <v>0.43699163553602161</v>
      </c>
      <c r="G21" s="23">
        <f t="shared" si="0"/>
        <v>0.43821982328818809</v>
      </c>
      <c r="H21" s="23">
        <f t="shared" si="0"/>
        <v>0.43942924199794098</v>
      </c>
      <c r="I21" s="23">
        <f t="shared" si="0"/>
        <v>0.44062005940520699</v>
      </c>
      <c r="J21" s="23">
        <f t="shared" si="0"/>
        <v>0.44179244436144693</v>
      </c>
      <c r="K21" s="23">
        <f t="shared" si="0"/>
        <v>0.44294656676224586</v>
      </c>
      <c r="L21" s="23">
        <f t="shared" si="0"/>
        <v>0.44408259748053058</v>
      </c>
      <c r="N21" s="17">
        <v>-1.5</v>
      </c>
      <c r="O21" s="23">
        <f t="shared" si="2"/>
        <v>0.12951759566589174</v>
      </c>
    </row>
    <row r="22" spans="2:15" ht="18.75" customHeight="1" x14ac:dyDescent="0.25">
      <c r="B22" s="17" t="s">
        <v>105</v>
      </c>
      <c r="C22" s="23">
        <f t="shared" si="1"/>
        <v>0.44520070830044201</v>
      </c>
      <c r="D22" s="23">
        <f t="shared" si="1"/>
        <v>0.44630107185188028</v>
      </c>
      <c r="E22" s="23">
        <f t="shared" si="1"/>
        <v>0.44738386154574794</v>
      </c>
      <c r="F22" s="23">
        <f t="shared" si="1"/>
        <v>0.44844925150991066</v>
      </c>
      <c r="G22" s="23">
        <f t="shared" si="1"/>
        <v>0.44949741652589625</v>
      </c>
      <c r="H22" s="23">
        <f t="shared" si="1"/>
        <v>0.4505285319663519</v>
      </c>
      <c r="I22" s="23">
        <f t="shared" si="1"/>
        <v>0.45154277373327723</v>
      </c>
      <c r="J22" s="23">
        <f t="shared" si="1"/>
        <v>0.45254031819705265</v>
      </c>
      <c r="K22" s="23">
        <f t="shared" si="1"/>
        <v>0.45352134213628004</v>
      </c>
      <c r="L22" s="23">
        <f t="shared" si="1"/>
        <v>0.45448602267845017</v>
      </c>
      <c r="N22" s="17">
        <v>-1.4</v>
      </c>
      <c r="O22" s="23">
        <f t="shared" si="2"/>
        <v>0.14972746563574488</v>
      </c>
    </row>
    <row r="23" spans="2:15" ht="18.75" customHeight="1" x14ac:dyDescent="0.25">
      <c r="B23" s="17" t="s">
        <v>106</v>
      </c>
      <c r="C23" s="23">
        <f t="shared" si="1"/>
        <v>0.45543453724145699</v>
      </c>
      <c r="D23" s="23">
        <f t="shared" si="1"/>
        <v>0.45636706347596812</v>
      </c>
      <c r="E23" s="23">
        <f t="shared" si="1"/>
        <v>0.45728377920867114</v>
      </c>
      <c r="F23" s="23">
        <f t="shared" si="1"/>
        <v>0.4581848623864051</v>
      </c>
      <c r="G23" s="23">
        <f t="shared" si="1"/>
        <v>0.45907049102119268</v>
      </c>
      <c r="H23" s="23">
        <f t="shared" si="1"/>
        <v>0.45994084313618289</v>
      </c>
      <c r="I23" s="23">
        <f t="shared" si="1"/>
        <v>0.46079609671251731</v>
      </c>
      <c r="J23" s="23">
        <f t="shared" si="1"/>
        <v>0.46163642963712881</v>
      </c>
      <c r="K23" s="23">
        <f t="shared" si="1"/>
        <v>0.46246201965148326</v>
      </c>
      <c r="L23" s="23">
        <f t="shared" si="1"/>
        <v>0.4632730443012737</v>
      </c>
      <c r="N23" s="17">
        <v>-1.3</v>
      </c>
      <c r="O23" s="23">
        <f t="shared" si="2"/>
        <v>0.17136859204780736</v>
      </c>
    </row>
    <row r="24" spans="2:15" ht="18.75" customHeight="1" x14ac:dyDescent="0.25">
      <c r="B24" s="17" t="s">
        <v>107</v>
      </c>
      <c r="C24" s="23">
        <f t="shared" si="1"/>
        <v>0.46406968088707423</v>
      </c>
      <c r="D24" s="23">
        <f t="shared" si="1"/>
        <v>0.4648521064159612</v>
      </c>
      <c r="E24" s="23">
        <f t="shared" si="1"/>
        <v>0.46562049755411006</v>
      </c>
      <c r="F24" s="23">
        <f t="shared" si="1"/>
        <v>0.46637503058037166</v>
      </c>
      <c r="G24" s="23">
        <f t="shared" si="1"/>
        <v>0.46711588134083615</v>
      </c>
      <c r="H24" s="23">
        <f t="shared" si="1"/>
        <v>0.46784322520438626</v>
      </c>
      <c r="I24" s="23">
        <f t="shared" si="1"/>
        <v>0.46855723701924734</v>
      </c>
      <c r="J24" s="23">
        <f t="shared" si="1"/>
        <v>0.46925809107053407</v>
      </c>
      <c r="K24" s="23">
        <f t="shared" si="1"/>
        <v>0.46994596103880026</v>
      </c>
      <c r="L24" s="23">
        <f t="shared" si="1"/>
        <v>0.4706210199595906</v>
      </c>
      <c r="N24" s="17">
        <v>-1.2</v>
      </c>
      <c r="O24" s="23">
        <f t="shared" si="2"/>
        <v>0.19418605498321295</v>
      </c>
    </row>
    <row r="25" spans="2:15" ht="18.75" customHeight="1" x14ac:dyDescent="0.25">
      <c r="B25" s="17" t="s">
        <v>108</v>
      </c>
      <c r="C25" s="23">
        <f t="shared" si="1"/>
        <v>0.47128344018399815</v>
      </c>
      <c r="D25" s="23">
        <f t="shared" si="1"/>
        <v>0.47193339334022744</v>
      </c>
      <c r="E25" s="23">
        <f t="shared" si="1"/>
        <v>0.4725710502961632</v>
      </c>
      <c r="F25" s="23">
        <f t="shared" si="1"/>
        <v>0.47319658112294505</v>
      </c>
      <c r="G25" s="23">
        <f t="shared" si="1"/>
        <v>0.47381015505954727</v>
      </c>
      <c r="H25" s="23">
        <f t="shared" si="1"/>
        <v>0.47441194047836144</v>
      </c>
      <c r="I25" s="23">
        <f t="shared" si="1"/>
        <v>0.47500210485177952</v>
      </c>
      <c r="J25" s="23">
        <f t="shared" si="1"/>
        <v>0.47558081471977742</v>
      </c>
      <c r="K25" s="23">
        <f t="shared" si="1"/>
        <v>0.47614823565849151</v>
      </c>
      <c r="L25" s="23">
        <f t="shared" si="1"/>
        <v>0.47670453224978815</v>
      </c>
      <c r="N25" s="17">
        <v>-1.1000000000000001</v>
      </c>
      <c r="O25" s="23">
        <f t="shared" si="2"/>
        <v>0.21785217703255053</v>
      </c>
    </row>
    <row r="26" spans="2:15" ht="18.75" customHeight="1" x14ac:dyDescent="0.25">
      <c r="B26" s="17" t="s">
        <v>109</v>
      </c>
      <c r="C26" s="23">
        <f t="shared" si="1"/>
        <v>0.47724986805182079</v>
      </c>
      <c r="D26" s="23">
        <f t="shared" si="1"/>
        <v>0.47778440557056856</v>
      </c>
      <c r="E26" s="23">
        <f t="shared" si="1"/>
        <v>0.47830830623235321</v>
      </c>
      <c r="F26" s="23">
        <f t="shared" si="1"/>
        <v>0.47882173035732778</v>
      </c>
      <c r="G26" s="23">
        <f t="shared" si="1"/>
        <v>0.47932483713392993</v>
      </c>
      <c r="H26" s="23">
        <f t="shared" si="1"/>
        <v>0.47981778459429558</v>
      </c>
      <c r="I26" s="23">
        <f t="shared" si="1"/>
        <v>0.48030072959062309</v>
      </c>
      <c r="J26" s="23">
        <f t="shared" si="1"/>
        <v>0.48077382777248268</v>
      </c>
      <c r="K26" s="23">
        <f t="shared" si="1"/>
        <v>0.48123723356506221</v>
      </c>
      <c r="L26" s="23">
        <f t="shared" si="1"/>
        <v>0.48169110014834104</v>
      </c>
      <c r="N26" s="17">
        <v>-1</v>
      </c>
      <c r="O26" s="23">
        <f t="shared" si="2"/>
        <v>0.24197072451914337</v>
      </c>
    </row>
    <row r="27" spans="2:15" ht="18.75" customHeight="1" x14ac:dyDescent="0.25">
      <c r="B27" s="17" t="s">
        <v>110</v>
      </c>
      <c r="C27" s="23">
        <f t="shared" si="1"/>
        <v>0.48213557943718344</v>
      </c>
      <c r="D27" s="23">
        <f t="shared" si="1"/>
        <v>0.48257082206234292</v>
      </c>
      <c r="E27" s="23">
        <f t="shared" si="1"/>
        <v>0.48299697735236724</v>
      </c>
      <c r="F27" s="23">
        <f t="shared" si="1"/>
        <v>0.48341419331639501</v>
      </c>
      <c r="G27" s="23">
        <f t="shared" si="1"/>
        <v>0.48382261662783388</v>
      </c>
      <c r="H27" s="23">
        <f t="shared" si="1"/>
        <v>0.48422239260890954</v>
      </c>
      <c r="I27" s="23">
        <f t="shared" si="1"/>
        <v>0.48461366521607452</v>
      </c>
      <c r="J27" s="23">
        <f t="shared" si="1"/>
        <v>0.48499657702626775</v>
      </c>
      <c r="K27" s="23">
        <f t="shared" si="1"/>
        <v>0.48537126922401075</v>
      </c>
      <c r="L27" s="23">
        <f t="shared" si="1"/>
        <v>0.48573788158933118</v>
      </c>
      <c r="N27" s="17">
        <v>-0.9</v>
      </c>
      <c r="O27" s="23">
        <f t="shared" si="2"/>
        <v>0.26608524989875482</v>
      </c>
    </row>
    <row r="28" spans="2:15" ht="18.75" customHeight="1" x14ac:dyDescent="0.25">
      <c r="B28" s="17" t="s">
        <v>111</v>
      </c>
      <c r="C28" s="23">
        <f t="shared" si="1"/>
        <v>0.48609655248650141</v>
      </c>
      <c r="D28" s="23">
        <f t="shared" si="1"/>
        <v>0.48644741885358</v>
      </c>
      <c r="E28" s="23">
        <f t="shared" si="1"/>
        <v>0.48679061619274377</v>
      </c>
      <c r="F28" s="23">
        <f t="shared" si="1"/>
        <v>0.48712627856139801</v>
      </c>
      <c r="G28" s="23">
        <f t="shared" si="1"/>
        <v>0.48745453856405341</v>
      </c>
      <c r="H28" s="23">
        <f t="shared" si="1"/>
        <v>0.48777552734495533</v>
      </c>
      <c r="I28" s="23">
        <f t="shared" si="1"/>
        <v>0.48808937458145296</v>
      </c>
      <c r="J28" s="23">
        <f t="shared" si="1"/>
        <v>0.48839620847809651</v>
      </c>
      <c r="K28" s="23">
        <f t="shared" si="1"/>
        <v>0.4886961557614472</v>
      </c>
      <c r="L28" s="23">
        <f t="shared" si="1"/>
        <v>0.48898934167558861</v>
      </c>
      <c r="N28" s="17">
        <v>-0.8</v>
      </c>
      <c r="O28" s="23">
        <f t="shared" si="2"/>
        <v>0.28969155276148273</v>
      </c>
    </row>
    <row r="29" spans="2:15" ht="18.75" customHeight="1" x14ac:dyDescent="0.25">
      <c r="B29" s="17" t="s">
        <v>112</v>
      </c>
      <c r="C29" s="23">
        <f t="shared" si="1"/>
        <v>0.48927588997832416</v>
      </c>
      <c r="D29" s="23">
        <f t="shared" si="1"/>
        <v>0.48955592293804895</v>
      </c>
      <c r="E29" s="23">
        <f t="shared" si="1"/>
        <v>0.48982956133128031</v>
      </c>
      <c r="F29" s="23">
        <f t="shared" si="1"/>
        <v>0.49009692444083575</v>
      </c>
      <c r="G29" s="23">
        <f t="shared" si="1"/>
        <v>0.49035813005464168</v>
      </c>
      <c r="H29" s="23">
        <f t="shared" si="1"/>
        <v>0.49061329446516144</v>
      </c>
      <c r="I29" s="23">
        <f t="shared" si="1"/>
        <v>0.49086253246942735</v>
      </c>
      <c r="J29" s="23">
        <f t="shared" si="1"/>
        <v>0.49110595736966323</v>
      </c>
      <c r="K29" s="23">
        <f t="shared" si="1"/>
        <v>0.49134368097448344</v>
      </c>
      <c r="L29" s="23">
        <f t="shared" si="1"/>
        <v>0.49157581360065428</v>
      </c>
      <c r="N29" s="17">
        <v>-0.7</v>
      </c>
      <c r="O29" s="23">
        <f t="shared" si="2"/>
        <v>0.31225393336676127</v>
      </c>
    </row>
    <row r="30" spans="2:15" ht="18.75" customHeight="1" x14ac:dyDescent="0.25">
      <c r="B30" s="17" t="s">
        <v>113</v>
      </c>
      <c r="C30" s="23">
        <f t="shared" si="1"/>
        <v>0.49180246407540384</v>
      </c>
      <c r="D30" s="23">
        <f t="shared" si="1"/>
        <v>0.49202373973926627</v>
      </c>
      <c r="E30" s="23">
        <f t="shared" si="1"/>
        <v>0.49223974644944635</v>
      </c>
      <c r="F30" s="23">
        <f t="shared" si="1"/>
        <v>0.49245058858369084</v>
      </c>
      <c r="G30" s="23">
        <f t="shared" si="1"/>
        <v>0.49265636904465171</v>
      </c>
      <c r="H30" s="23">
        <f t="shared" si="1"/>
        <v>0.49285718926472855</v>
      </c>
      <c r="I30" s="23">
        <f t="shared" si="1"/>
        <v>0.49305314921137566</v>
      </c>
      <c r="J30" s="23">
        <f t="shared" si="1"/>
        <v>0.49324434739285938</v>
      </c>
      <c r="K30" s="23">
        <f t="shared" si="1"/>
        <v>0.49343088086445319</v>
      </c>
      <c r="L30" s="23">
        <f t="shared" si="1"/>
        <v>0.49361284523505677</v>
      </c>
      <c r="N30" s="17">
        <v>-0.6</v>
      </c>
      <c r="O30" s="23">
        <f t="shared" si="2"/>
        <v>0.33322460289179967</v>
      </c>
    </row>
    <row r="31" spans="2:15" ht="18.75" customHeight="1" x14ac:dyDescent="0.25">
      <c r="B31" s="17" t="s">
        <v>114</v>
      </c>
      <c r="C31" s="23">
        <f t="shared" si="1"/>
        <v>0.49379033467422384</v>
      </c>
      <c r="D31" s="23">
        <f t="shared" si="1"/>
        <v>0.4939634419195873</v>
      </c>
      <c r="E31" s="23">
        <f t="shared" si="1"/>
        <v>0.49413225828466745</v>
      </c>
      <c r="F31" s="23">
        <f t="shared" si="1"/>
        <v>0.49429687366704933</v>
      </c>
      <c r="G31" s="23">
        <f t="shared" si="1"/>
        <v>0.49445737655691735</v>
      </c>
      <c r="H31" s="23">
        <f t="shared" si="1"/>
        <v>0.49461385404593328</v>
      </c>
      <c r="I31" s="23">
        <f t="shared" si="1"/>
        <v>0.49476639183644422</v>
      </c>
      <c r="J31" s="23">
        <f t="shared" si="1"/>
        <v>0.494915074251009</v>
      </c>
      <c r="K31" s="23">
        <f t="shared" si="1"/>
        <v>0.49505998424222941</v>
      </c>
      <c r="L31" s="23">
        <f t="shared" si="1"/>
        <v>0.49520120340287377</v>
      </c>
      <c r="N31" s="17">
        <v>-0.5</v>
      </c>
      <c r="O31" s="23">
        <f t="shared" si="2"/>
        <v>0.35206532676429952</v>
      </c>
    </row>
    <row r="32" spans="2:15" ht="18.75" customHeight="1" x14ac:dyDescent="0.25">
      <c r="B32" s="17" t="s">
        <v>115</v>
      </c>
      <c r="C32" s="23">
        <f t="shared" si="1"/>
        <v>0.49533881197628127</v>
      </c>
      <c r="D32" s="23">
        <f t="shared" si="1"/>
        <v>0.49547288886703267</v>
      </c>
      <c r="E32" s="23">
        <f t="shared" si="1"/>
        <v>0.49560351165187866</v>
      </c>
      <c r="F32" s="23">
        <f t="shared" si="1"/>
        <v>0.4957307565909107</v>
      </c>
      <c r="G32" s="23">
        <f t="shared" si="1"/>
        <v>0.49585469863896392</v>
      </c>
      <c r="H32" s="23">
        <f t="shared" si="1"/>
        <v>0.49597541145724167</v>
      </c>
      <c r="I32" s="23">
        <f t="shared" si="1"/>
        <v>0.49609296742514719</v>
      </c>
      <c r="J32" s="23">
        <f t="shared" si="1"/>
        <v>0.49620743765231456</v>
      </c>
      <c r="K32" s="23">
        <f t="shared" si="1"/>
        <v>0.49631889199082502</v>
      </c>
      <c r="L32" s="23">
        <f t="shared" si="1"/>
        <v>0.49642739904760025</v>
      </c>
      <c r="N32" s="17">
        <v>-0.4</v>
      </c>
      <c r="O32" s="23">
        <f t="shared" si="2"/>
        <v>0.36827014030332333</v>
      </c>
    </row>
    <row r="33" spans="2:15" ht="18.75" customHeight="1" x14ac:dyDescent="0.25">
      <c r="B33" s="17" t="s">
        <v>116</v>
      </c>
      <c r="C33" s="23">
        <f t="shared" si="1"/>
        <v>0.49653302619695938</v>
      </c>
      <c r="D33" s="23">
        <f t="shared" si="1"/>
        <v>0.4966358395933308</v>
      </c>
      <c r="E33" s="23">
        <f t="shared" si="1"/>
        <v>0.49673590418410873</v>
      </c>
      <c r="F33" s="23">
        <f t="shared" si="1"/>
        <v>0.49683328372264224</v>
      </c>
      <c r="G33" s="23">
        <f t="shared" si="1"/>
        <v>0.49692804078134956</v>
      </c>
      <c r="H33" s="23">
        <f t="shared" si="1"/>
        <v>0.49702023676494544</v>
      </c>
      <c r="I33" s="23">
        <f t="shared" si="1"/>
        <v>0.49710993192377384</v>
      </c>
      <c r="J33" s="23">
        <f t="shared" si="1"/>
        <v>0.49719718536723501</v>
      </c>
      <c r="K33" s="23">
        <f t="shared" si="1"/>
        <v>0.49728205507729872</v>
      </c>
      <c r="L33" s="23">
        <f t="shared" si="1"/>
        <v>0.49736459792209509</v>
      </c>
      <c r="N33" s="17">
        <v>-0.3</v>
      </c>
      <c r="O33" s="23">
        <f t="shared" si="2"/>
        <v>0.38138781546052414</v>
      </c>
    </row>
    <row r="34" spans="2:15" ht="18.75" customHeight="1" x14ac:dyDescent="0.25">
      <c r="B34" s="17" t="s">
        <v>117</v>
      </c>
      <c r="C34" s="23">
        <f t="shared" si="1"/>
        <v>0.49744486966957202</v>
      </c>
      <c r="D34" s="23">
        <f t="shared" si="1"/>
        <v>0.49752292500121409</v>
      </c>
      <c r="E34" s="23">
        <f t="shared" si="1"/>
        <v>0.4975988175258107</v>
      </c>
      <c r="F34" s="23">
        <f t="shared" si="1"/>
        <v>0.4976725997932685</v>
      </c>
      <c r="G34" s="23">
        <f t="shared" si="1"/>
        <v>0.49774432330845764</v>
      </c>
      <c r="H34" s="23">
        <f t="shared" si="1"/>
        <v>0.49781403854508677</v>
      </c>
      <c r="I34" s="23">
        <f t="shared" si="1"/>
        <v>0.49788179495959539</v>
      </c>
      <c r="J34" s="23">
        <f t="shared" si="1"/>
        <v>0.49794764100506028</v>
      </c>
      <c r="K34" s="23">
        <f t="shared" si="1"/>
        <v>0.49801162414510569</v>
      </c>
      <c r="L34" s="23">
        <f t="shared" si="1"/>
        <v>0.49807379086781212</v>
      </c>
      <c r="N34" s="17">
        <v>-0.2</v>
      </c>
      <c r="O34" s="23">
        <f t="shared" si="2"/>
        <v>0.39104269397545588</v>
      </c>
    </row>
    <row r="35" spans="2:15" ht="18.75" customHeight="1" x14ac:dyDescent="0.25">
      <c r="B35" s="17" t="s">
        <v>118</v>
      </c>
      <c r="C35" s="23">
        <f t="shared" si="1"/>
        <v>0.49813418669961596</v>
      </c>
      <c r="D35" s="23">
        <f t="shared" si="1"/>
        <v>0.49819285621919351</v>
      </c>
      <c r="E35" s="23">
        <f t="shared" si="1"/>
        <v>0.49824984307132392</v>
      </c>
      <c r="F35" s="23">
        <f t="shared" si="1"/>
        <v>0.49830518998072271</v>
      </c>
      <c r="G35" s="23">
        <f t="shared" si="1"/>
        <v>0.49835893876584303</v>
      </c>
      <c r="H35" s="23">
        <f t="shared" si="1"/>
        <v>0.49841113035263518</v>
      </c>
      <c r="I35" s="23">
        <f t="shared" si="1"/>
        <v>0.49846180478826196</v>
      </c>
      <c r="J35" s="23">
        <f t="shared" si="1"/>
        <v>0.49851100125476255</v>
      </c>
      <c r="K35" s="23">
        <f t="shared" si="1"/>
        <v>0.49855875808266004</v>
      </c>
      <c r="L35" s="23">
        <f t="shared" si="1"/>
        <v>0.4986051127645077</v>
      </c>
      <c r="N35" s="17">
        <v>-0.1</v>
      </c>
      <c r="O35" s="23">
        <f t="shared" si="2"/>
        <v>0.39695254747701181</v>
      </c>
    </row>
    <row r="36" spans="2:15" ht="18.75" customHeight="1" x14ac:dyDescent="0.25">
      <c r="B36" s="17" t="s">
        <v>119</v>
      </c>
      <c r="C36" s="23">
        <f t="shared" si="1"/>
        <v>0.4986501019683699</v>
      </c>
      <c r="D36" s="23">
        <f t="shared" si="1"/>
        <v>0.49869376155123057</v>
      </c>
      <c r="E36" s="23">
        <f t="shared" si="1"/>
        <v>0.49873612657232769</v>
      </c>
      <c r="F36" s="23">
        <f t="shared" si="1"/>
        <v>0.49877723130640772</v>
      </c>
      <c r="G36" s="23">
        <f t="shared" si="1"/>
        <v>0.4988171092568956</v>
      </c>
      <c r="H36" s="23">
        <f t="shared" si="1"/>
        <v>0.49885579316897732</v>
      </c>
      <c r="I36" s="23">
        <f t="shared" si="1"/>
        <v>0.49889331504259071</v>
      </c>
      <c r="J36" s="23">
        <f t="shared" si="1"/>
        <v>0.49892970614532106</v>
      </c>
      <c r="K36" s="23">
        <f t="shared" si="1"/>
        <v>0.49896499702519714</v>
      </c>
      <c r="L36" s="23">
        <f t="shared" si="1"/>
        <v>0.49899921752338594</v>
      </c>
      <c r="N36" s="17">
        <v>0</v>
      </c>
      <c r="O36" s="23">
        <f t="shared" si="2"/>
        <v>0.3989422804014327</v>
      </c>
    </row>
    <row r="37" spans="2:15" ht="18.75" customHeight="1" x14ac:dyDescent="0.25">
      <c r="N37" s="17">
        <v>0.1</v>
      </c>
      <c r="O37" s="23">
        <f t="shared" si="2"/>
        <v>0.39695254747701181</v>
      </c>
    </row>
    <row r="38" spans="2:15" ht="18.75" customHeight="1" x14ac:dyDescent="0.25">
      <c r="N38" s="17">
        <v>0.2</v>
      </c>
      <c r="O38" s="23">
        <f t="shared" si="2"/>
        <v>0.39104269397545588</v>
      </c>
    </row>
    <row r="39" spans="2:15" ht="18.75" customHeight="1" x14ac:dyDescent="0.25">
      <c r="B39" s="7" t="s">
        <v>4</v>
      </c>
      <c r="N39" s="17">
        <v>0.3</v>
      </c>
      <c r="O39" s="23">
        <f t="shared" si="2"/>
        <v>0.38138781546052414</v>
      </c>
    </row>
    <row r="40" spans="2:15" ht="18.75" customHeight="1" x14ac:dyDescent="0.25">
      <c r="B40" s="33" t="s">
        <v>135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N40" s="17">
        <v>0.4</v>
      </c>
      <c r="O40" s="23">
        <f t="shared" si="2"/>
        <v>0.36827014030332333</v>
      </c>
    </row>
    <row r="41" spans="2:15" ht="18.75" customHeight="1" x14ac:dyDescent="0.25">
      <c r="B41" s="33" t="s">
        <v>136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N41" s="17">
        <v>0.5</v>
      </c>
      <c r="O41" s="23">
        <f t="shared" si="2"/>
        <v>0.35206532676429952</v>
      </c>
    </row>
    <row r="42" spans="2:15" ht="18.75" customHeight="1" x14ac:dyDescent="0.25">
      <c r="B42" s="33" t="s">
        <v>137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N42" s="17">
        <v>0.6</v>
      </c>
      <c r="O42" s="23">
        <f t="shared" si="2"/>
        <v>0.33322460289179967</v>
      </c>
    </row>
    <row r="43" spans="2:15" ht="18.75" customHeight="1" x14ac:dyDescent="0.25">
      <c r="B43" s="33" t="s">
        <v>138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N43" s="17">
        <v>0.7</v>
      </c>
      <c r="O43" s="23">
        <f t="shared" si="2"/>
        <v>0.31225393336676127</v>
      </c>
    </row>
    <row r="44" spans="2:15" ht="18.75" customHeight="1" x14ac:dyDescent="0.25">
      <c r="B44" s="33" t="s">
        <v>139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N44" s="17">
        <v>0.8</v>
      </c>
      <c r="O44" s="23">
        <f t="shared" si="2"/>
        <v>0.28969155276148273</v>
      </c>
    </row>
    <row r="45" spans="2:15" ht="18.75" customHeight="1" x14ac:dyDescent="0.25">
      <c r="B45" s="33" t="s">
        <v>140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N45" s="17">
        <v>0.9</v>
      </c>
      <c r="O45" s="23">
        <f t="shared" si="2"/>
        <v>0.26608524989875482</v>
      </c>
    </row>
    <row r="46" spans="2:15" ht="18.75" customHeight="1" x14ac:dyDescent="0.25">
      <c r="N46" s="17">
        <v>1</v>
      </c>
      <c r="O46" s="23">
        <f t="shared" si="2"/>
        <v>0.24197072451914337</v>
      </c>
    </row>
    <row r="47" spans="2:15" ht="18.75" customHeight="1" x14ac:dyDescent="0.25">
      <c r="N47" s="17">
        <v>1.1000000000000001</v>
      </c>
      <c r="O47" s="23">
        <f t="shared" si="2"/>
        <v>0.21785217703255053</v>
      </c>
    </row>
    <row r="48" spans="2:15" ht="18.75" customHeight="1" x14ac:dyDescent="0.25">
      <c r="N48" s="17">
        <v>1.2</v>
      </c>
      <c r="O48" s="23">
        <f t="shared" si="2"/>
        <v>0.19418605498321295</v>
      </c>
    </row>
    <row r="49" spans="14:15" ht="18.75" customHeight="1" x14ac:dyDescent="0.25">
      <c r="N49" s="17">
        <v>1.3</v>
      </c>
      <c r="O49" s="23">
        <f t="shared" si="2"/>
        <v>0.17136859204780736</v>
      </c>
    </row>
    <row r="50" spans="14:15" x14ac:dyDescent="0.25">
      <c r="N50" s="17">
        <v>1.4</v>
      </c>
      <c r="O50" s="23">
        <f t="shared" si="2"/>
        <v>0.14972746563574488</v>
      </c>
    </row>
    <row r="51" spans="14:15" x14ac:dyDescent="0.25">
      <c r="N51" s="17">
        <v>1.5</v>
      </c>
      <c r="O51" s="23">
        <f t="shared" si="2"/>
        <v>0.12951759566589174</v>
      </c>
    </row>
    <row r="52" spans="14:15" x14ac:dyDescent="0.25">
      <c r="N52" s="17">
        <v>1.6</v>
      </c>
      <c r="O52" s="23">
        <f t="shared" si="2"/>
        <v>0.11092083467945554</v>
      </c>
    </row>
    <row r="53" spans="14:15" x14ac:dyDescent="0.25">
      <c r="N53" s="17">
        <v>1.7</v>
      </c>
      <c r="O53" s="23">
        <f t="shared" si="2"/>
        <v>9.4049077376886947E-2</v>
      </c>
    </row>
    <row r="54" spans="14:15" x14ac:dyDescent="0.25">
      <c r="N54" s="17">
        <v>1.8</v>
      </c>
      <c r="O54" s="23">
        <f t="shared" si="2"/>
        <v>7.8950158300894149E-2</v>
      </c>
    </row>
    <row r="55" spans="14:15" x14ac:dyDescent="0.25">
      <c r="N55" s="17">
        <v>1.9</v>
      </c>
      <c r="O55" s="23">
        <f t="shared" si="2"/>
        <v>6.5615814774676595E-2</v>
      </c>
    </row>
    <row r="56" spans="14:15" x14ac:dyDescent="0.25">
      <c r="N56" s="17">
        <v>2</v>
      </c>
      <c r="O56" s="23">
        <f t="shared" si="2"/>
        <v>5.3990966513188063E-2</v>
      </c>
    </row>
    <row r="57" spans="14:15" x14ac:dyDescent="0.25">
      <c r="N57" s="17">
        <v>2.1</v>
      </c>
      <c r="O57" s="23">
        <f t="shared" si="2"/>
        <v>4.3983595980427191E-2</v>
      </c>
    </row>
    <row r="58" spans="14:15" x14ac:dyDescent="0.25">
      <c r="N58" s="17">
        <v>2.2000000000000002</v>
      </c>
      <c r="O58" s="23">
        <f t="shared" si="2"/>
        <v>3.5474592846231424E-2</v>
      </c>
    </row>
    <row r="59" spans="14:15" x14ac:dyDescent="0.25">
      <c r="N59" s="17">
        <v>2.2999999999999998</v>
      </c>
      <c r="O59" s="23">
        <f t="shared" si="2"/>
        <v>2.8327037741601186E-2</v>
      </c>
    </row>
    <row r="60" spans="14:15" x14ac:dyDescent="0.25">
      <c r="N60" s="17">
        <v>2.4</v>
      </c>
      <c r="O60" s="23">
        <f t="shared" si="2"/>
        <v>2.2394530294842899E-2</v>
      </c>
    </row>
    <row r="61" spans="14:15" x14ac:dyDescent="0.25">
      <c r="N61" s="17">
        <v>2.5000000000000102</v>
      </c>
      <c r="O61" s="23">
        <f t="shared" si="2"/>
        <v>1.7528300493568086E-2</v>
      </c>
    </row>
    <row r="62" spans="14:15" x14ac:dyDescent="0.25">
      <c r="N62" s="17">
        <v>2.6</v>
      </c>
      <c r="O62" s="23">
        <f t="shared" si="2"/>
        <v>1.3582969233685613E-2</v>
      </c>
    </row>
    <row r="63" spans="14:15" x14ac:dyDescent="0.25">
      <c r="N63" s="17">
        <v>2.7</v>
      </c>
      <c r="O63" s="23">
        <f t="shared" si="2"/>
        <v>1.0420934814422592E-2</v>
      </c>
    </row>
    <row r="64" spans="14:15" x14ac:dyDescent="0.25">
      <c r="N64" s="17">
        <v>2.80000000000001</v>
      </c>
      <c r="O64" s="23">
        <f t="shared" si="2"/>
        <v>7.915451582979743E-3</v>
      </c>
    </row>
    <row r="65" spans="14:15" x14ac:dyDescent="0.25">
      <c r="N65" s="17">
        <v>2.9000000000000101</v>
      </c>
      <c r="O65" s="23">
        <f t="shared" si="2"/>
        <v>5.9525324197756795E-3</v>
      </c>
    </row>
    <row r="66" spans="14:15" x14ac:dyDescent="0.25">
      <c r="N66" s="17">
        <v>3.0000000000000102</v>
      </c>
      <c r="O66" s="23">
        <f t="shared" si="2"/>
        <v>4.431848411937874E-3</v>
      </c>
    </row>
  </sheetData>
  <mergeCells count="6">
    <mergeCell ref="B45:L45"/>
    <mergeCell ref="B40:L40"/>
    <mergeCell ref="B41:L41"/>
    <mergeCell ref="B42:L42"/>
    <mergeCell ref="B43:L43"/>
    <mergeCell ref="B44:L44"/>
  </mergeCells>
  <phoneticPr fontId="11"/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30"/>
  <sheetViews>
    <sheetView zoomScaleNormal="100" workbookViewId="0"/>
  </sheetViews>
  <sheetFormatPr defaultColWidth="8.7109375" defaultRowHeight="18.75" x14ac:dyDescent="0.25"/>
  <cols>
    <col min="1" max="1" width="4.7109375" style="1" customWidth="1"/>
    <col min="2" max="2" width="22" style="1" customWidth="1"/>
    <col min="3" max="3" width="36" style="1" customWidth="1"/>
    <col min="4" max="4" width="16" style="1" customWidth="1"/>
    <col min="5" max="5" width="28" style="1" customWidth="1"/>
    <col min="6" max="16384" width="8.7109375" style="1"/>
  </cols>
  <sheetData>
    <row r="1" spans="2:5" ht="18.75" customHeight="1" x14ac:dyDescent="0.25"/>
    <row r="2" spans="2:5" ht="30" customHeight="1" x14ac:dyDescent="0.25">
      <c r="B2" s="6" t="s">
        <v>1</v>
      </c>
    </row>
    <row r="3" spans="2:5" ht="18.75" customHeight="1" x14ac:dyDescent="0.25">
      <c r="B3" s="10" t="s">
        <v>155</v>
      </c>
    </row>
    <row r="4" spans="2:5" ht="18.75" customHeight="1" x14ac:dyDescent="0.25"/>
    <row r="5" spans="2:5" ht="18.75" customHeight="1" x14ac:dyDescent="0.25">
      <c r="B5" s="7" t="s">
        <v>142</v>
      </c>
    </row>
    <row r="6" spans="2:5" ht="18.75" customHeight="1" x14ac:dyDescent="0.25">
      <c r="B6" s="8" t="s">
        <v>156</v>
      </c>
      <c r="D6" s="29">
        <v>170</v>
      </c>
      <c r="E6" s="12" t="s">
        <v>157</v>
      </c>
    </row>
    <row r="7" spans="2:5" ht="18.75" customHeight="1" x14ac:dyDescent="0.25">
      <c r="B7" s="8" t="s">
        <v>158</v>
      </c>
      <c r="D7" s="29">
        <v>6</v>
      </c>
      <c r="E7" s="12" t="s">
        <v>159</v>
      </c>
    </row>
    <row r="8" spans="2:5" ht="18.75" customHeight="1" x14ac:dyDescent="0.25">
      <c r="B8" s="8" t="s">
        <v>160</v>
      </c>
      <c r="D8" s="29">
        <v>176</v>
      </c>
      <c r="E8" s="12" t="s">
        <v>161</v>
      </c>
    </row>
    <row r="9" spans="2:5" ht="18.75" customHeight="1" x14ac:dyDescent="0.25"/>
    <row r="10" spans="2:5" ht="18.75" customHeight="1" x14ac:dyDescent="0.25">
      <c r="B10" s="7" t="s">
        <v>66</v>
      </c>
    </row>
    <row r="11" spans="2:5" ht="18.75" customHeight="1" x14ac:dyDescent="0.25">
      <c r="B11" s="16" t="s">
        <v>21</v>
      </c>
      <c r="C11" s="16" t="s">
        <v>162</v>
      </c>
      <c r="D11" s="16" t="s">
        <v>24</v>
      </c>
    </row>
    <row r="12" spans="2:5" ht="18.75" customHeight="1" x14ac:dyDescent="0.25">
      <c r="B12" s="24" t="s">
        <v>163</v>
      </c>
      <c r="C12" s="24">
        <f>(D8-D6)/D7</f>
        <v>1</v>
      </c>
      <c r="D12" s="23">
        <f>(D8-D6)/D7</f>
        <v>1</v>
      </c>
    </row>
    <row r="13" spans="2:5" ht="18.75" customHeight="1" x14ac:dyDescent="0.25">
      <c r="B13" s="24" t="s">
        <v>67</v>
      </c>
      <c r="C13" s="24">
        <f>_xlfn.NORM.DIST(D8,D6,D7,TRUE())</f>
        <v>0.84134474606854304</v>
      </c>
      <c r="D13" s="25">
        <f>_xlfn.NORM.DIST(D8,D6,D7,TRUE())</f>
        <v>0.84134474606854304</v>
      </c>
    </row>
    <row r="14" spans="2:5" ht="18.75" customHeight="1" x14ac:dyDescent="0.25">
      <c r="B14" s="24" t="s">
        <v>68</v>
      </c>
      <c r="C14" s="24">
        <f>1-_xlfn.NORM.DIST(D8,D6,D7,TRUE())</f>
        <v>0.15865525393145696</v>
      </c>
      <c r="D14" s="25">
        <f>1-_xlfn.NORM.DIST(D8,D6,D7,TRUE())</f>
        <v>0.15865525393145696</v>
      </c>
    </row>
    <row r="15" spans="2:5" ht="18.75" customHeight="1" x14ac:dyDescent="0.25"/>
    <row r="16" spans="2:5" ht="18.75" customHeight="1" x14ac:dyDescent="0.25">
      <c r="B16" s="7" t="s">
        <v>164</v>
      </c>
    </row>
    <row r="17" spans="2:5" ht="18.75" customHeight="1" x14ac:dyDescent="0.25">
      <c r="B17" s="16" t="s">
        <v>55</v>
      </c>
      <c r="C17" s="16" t="s">
        <v>165</v>
      </c>
      <c r="D17" s="16" t="s">
        <v>166</v>
      </c>
    </row>
    <row r="18" spans="2:5" ht="18.75" customHeight="1" x14ac:dyDescent="0.25">
      <c r="B18" s="24" t="s">
        <v>69</v>
      </c>
      <c r="C18" s="17" t="str">
        <f>D6-D7&amp;" ~ "&amp;(D6+D7)</f>
        <v>164 ~ 176</v>
      </c>
      <c r="D18" s="25">
        <f>_xlfn.NORM.DIST(D6+D7,D6,D7,TRUE())-_xlfn.NORM.DIST(D6-D7,D6,D7,TRUE())</f>
        <v>0.68268949213708607</v>
      </c>
    </row>
    <row r="19" spans="2:5" ht="18.75" customHeight="1" x14ac:dyDescent="0.25">
      <c r="B19" s="24" t="s">
        <v>70</v>
      </c>
      <c r="C19" s="17" t="str">
        <f>D6-2*D7&amp;" ~ "&amp;(D6+2*D7)</f>
        <v>158 ~ 182</v>
      </c>
      <c r="D19" s="25">
        <f>_xlfn.NORM.DIST(D6+2*D7,D6,D7,TRUE())-_xlfn.NORM.DIST(D6-2*D7,D6,D7,TRUE())</f>
        <v>0.95449973610364158</v>
      </c>
    </row>
    <row r="20" spans="2:5" ht="18.75" customHeight="1" x14ac:dyDescent="0.25">
      <c r="B20" s="24" t="s">
        <v>71</v>
      </c>
      <c r="C20" s="17" t="str">
        <f>D6-3*D7&amp;" ~ "&amp;(D6+3*D7)</f>
        <v>152 ~ 188</v>
      </c>
      <c r="D20" s="25">
        <f>_xlfn.NORM.DIST(D6+3*D7,D6,D7,TRUE())-_xlfn.NORM.DIST(D6-3*D7,D6,D7,TRUE())</f>
        <v>0.99730020393673979</v>
      </c>
    </row>
    <row r="21" spans="2:5" ht="18.75" customHeight="1" x14ac:dyDescent="0.25"/>
    <row r="22" spans="2:5" ht="18.75" customHeight="1" x14ac:dyDescent="0.25">
      <c r="B22" s="7" t="s">
        <v>72</v>
      </c>
    </row>
    <row r="23" spans="2:5" ht="18.75" customHeight="1" x14ac:dyDescent="0.25">
      <c r="B23" s="33" t="s">
        <v>167</v>
      </c>
      <c r="C23" s="33"/>
      <c r="D23" s="33"/>
      <c r="E23" s="33"/>
    </row>
    <row r="24" spans="2:5" ht="18.75" customHeight="1" x14ac:dyDescent="0.25">
      <c r="B24" s="33" t="s">
        <v>168</v>
      </c>
      <c r="C24" s="33"/>
      <c r="D24" s="33"/>
      <c r="E24" s="33"/>
    </row>
    <row r="25" spans="2:5" ht="18.75" customHeight="1" x14ac:dyDescent="0.25">
      <c r="B25" s="33" t="s">
        <v>169</v>
      </c>
      <c r="C25" s="33"/>
      <c r="D25" s="33"/>
      <c r="E25" s="33"/>
    </row>
    <row r="26" spans="2:5" ht="18.75" customHeight="1" x14ac:dyDescent="0.25">
      <c r="B26" s="33" t="s">
        <v>73</v>
      </c>
      <c r="C26" s="33"/>
      <c r="D26" s="33"/>
      <c r="E26" s="33"/>
    </row>
    <row r="27" spans="2:5" ht="18.75" customHeight="1" x14ac:dyDescent="0.25"/>
    <row r="28" spans="2:5" ht="18.75" customHeight="1" x14ac:dyDescent="0.25"/>
    <row r="29" spans="2:5" ht="18.75" customHeight="1" x14ac:dyDescent="0.25"/>
    <row r="30" spans="2:5" ht="18.75" customHeight="1" x14ac:dyDescent="0.25"/>
  </sheetData>
  <mergeCells count="4">
    <mergeCell ref="B23:E23"/>
    <mergeCell ref="B24:E24"/>
    <mergeCell ref="B25:E25"/>
    <mergeCell ref="B26:E26"/>
  </mergeCells>
  <phoneticPr fontId="11"/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59"/>
  <sheetViews>
    <sheetView zoomScaleNormal="100" workbookViewId="0"/>
  </sheetViews>
  <sheetFormatPr defaultColWidth="8.7109375" defaultRowHeight="18.75" x14ac:dyDescent="0.25"/>
  <cols>
    <col min="1" max="1" width="4.7109375" style="1" customWidth="1"/>
    <col min="2" max="2" width="18" style="1" customWidth="1"/>
    <col min="3" max="4" width="22" style="1" customWidth="1"/>
    <col min="5" max="5" width="28" style="1" customWidth="1"/>
    <col min="6" max="16384" width="8.7109375" style="1"/>
  </cols>
  <sheetData>
    <row r="1" spans="2:5" ht="18.75" customHeight="1" x14ac:dyDescent="0.25"/>
    <row r="2" spans="2:5" ht="30" customHeight="1" x14ac:dyDescent="0.25">
      <c r="B2" s="6" t="s">
        <v>2</v>
      </c>
    </row>
    <row r="3" spans="2:5" ht="18.75" customHeight="1" x14ac:dyDescent="0.25">
      <c r="B3" s="10" t="s">
        <v>141</v>
      </c>
    </row>
    <row r="4" spans="2:5" ht="18.75" customHeight="1" x14ac:dyDescent="0.25"/>
    <row r="5" spans="2:5" ht="18.75" customHeight="1" x14ac:dyDescent="0.25">
      <c r="B5" s="7" t="s">
        <v>142</v>
      </c>
    </row>
    <row r="6" spans="2:5" ht="18.75" customHeight="1" x14ac:dyDescent="0.25">
      <c r="B6" s="8" t="s">
        <v>143</v>
      </c>
      <c r="D6" s="29">
        <v>30</v>
      </c>
      <c r="E6" s="12" t="s">
        <v>144</v>
      </c>
    </row>
    <row r="7" spans="2:5" ht="18.75" customHeight="1" x14ac:dyDescent="0.25">
      <c r="B7" s="8" t="s">
        <v>145</v>
      </c>
      <c r="D7" s="30">
        <v>0.5</v>
      </c>
      <c r="E7" s="12" t="s">
        <v>146</v>
      </c>
    </row>
    <row r="8" spans="2:5" ht="18.75" customHeight="1" x14ac:dyDescent="0.25"/>
    <row r="9" spans="2:5" ht="18.75" customHeight="1" x14ac:dyDescent="0.25">
      <c r="B9" s="7" t="s">
        <v>74</v>
      </c>
    </row>
    <row r="10" spans="2:5" ht="18.75" customHeight="1" x14ac:dyDescent="0.25">
      <c r="B10" s="16" t="s">
        <v>21</v>
      </c>
      <c r="C10" s="16" t="s">
        <v>22</v>
      </c>
      <c r="D10" s="16" t="s">
        <v>24</v>
      </c>
    </row>
    <row r="11" spans="2:5" ht="18.75" customHeight="1" x14ac:dyDescent="0.25">
      <c r="B11" s="24" t="s">
        <v>147</v>
      </c>
      <c r="C11" s="17" t="s">
        <v>37</v>
      </c>
      <c r="D11" s="31">
        <f>D6*D7</f>
        <v>15</v>
      </c>
    </row>
    <row r="12" spans="2:5" ht="18.75" customHeight="1" x14ac:dyDescent="0.25">
      <c r="B12" s="24" t="s">
        <v>148</v>
      </c>
      <c r="C12" s="17" t="s">
        <v>39</v>
      </c>
      <c r="D12" s="31">
        <f>D6*D7*(1-D7)</f>
        <v>7.5</v>
      </c>
    </row>
    <row r="13" spans="2:5" ht="18.75" customHeight="1" x14ac:dyDescent="0.25">
      <c r="B13" s="24" t="s">
        <v>149</v>
      </c>
      <c r="C13" s="17" t="s">
        <v>41</v>
      </c>
      <c r="D13" s="31">
        <f>SQRT(D6*D7*(1-D7))</f>
        <v>2.7386127875258306</v>
      </c>
    </row>
    <row r="14" spans="2:5" ht="18.75" customHeight="1" x14ac:dyDescent="0.25"/>
    <row r="15" spans="2:5" ht="18.75" customHeight="1" x14ac:dyDescent="0.25">
      <c r="B15" s="7" t="s">
        <v>150</v>
      </c>
    </row>
    <row r="16" spans="2:5" ht="18.75" customHeight="1" x14ac:dyDescent="0.25">
      <c r="B16" s="16" t="s">
        <v>75</v>
      </c>
      <c r="C16" s="16" t="s">
        <v>76</v>
      </c>
      <c r="D16" s="16" t="s">
        <v>151</v>
      </c>
    </row>
    <row r="17" spans="2:4" ht="18.75" customHeight="1" x14ac:dyDescent="0.25">
      <c r="B17" s="17">
        <f>IF(0&lt;=$D$6,0,"")</f>
        <v>0</v>
      </c>
      <c r="C17" s="23">
        <f>IF(0&lt;=$D$6,_xlfn.BINOM.DIST(0,$D$6,$D$7,FALSE()),"")</f>
        <v>9.3132257461547934E-10</v>
      </c>
      <c r="D17" s="23">
        <f>IF(0&lt;=$D$6,_xlfn.BINOM.DIST(0,$D$6,$D$7,TRUE()),"")</f>
        <v>9.3132257461547934E-10</v>
      </c>
    </row>
    <row r="18" spans="2:4" ht="18.75" customHeight="1" x14ac:dyDescent="0.25">
      <c r="B18" s="17">
        <f>IF(1&lt;=$D$6,1,"")</f>
        <v>1</v>
      </c>
      <c r="C18" s="23">
        <f>IF(1&lt;=$D$6,_xlfn.BINOM.DIST(1,$D$6,$D$7,FALSE()),"")</f>
        <v>2.7939677238464359E-8</v>
      </c>
      <c r="D18" s="23">
        <f>IF(1&lt;=$D$6,_xlfn.BINOM.DIST(1,$D$6,$D$7,TRUE()),"")</f>
        <v>2.8870999813079864E-8</v>
      </c>
    </row>
    <row r="19" spans="2:4" ht="18.75" customHeight="1" x14ac:dyDescent="0.25">
      <c r="B19" s="17">
        <f>IF(2&lt;=$D$6,2,"")</f>
        <v>2</v>
      </c>
      <c r="C19" s="23">
        <f>IF(2&lt;=$D$6,_xlfn.BINOM.DIST(2,$D$6,$D$7,FALSE()),"")</f>
        <v>4.0512531995773342E-7</v>
      </c>
      <c r="D19" s="23">
        <f>IF(2&lt;=$D$6,_xlfn.BINOM.DIST(2,$D$6,$D$7,TRUE()),"")</f>
        <v>4.3399631977081267E-7</v>
      </c>
    </row>
    <row r="20" spans="2:4" ht="18.75" customHeight="1" x14ac:dyDescent="0.25">
      <c r="B20" s="17">
        <f>IF(3&lt;=$D$6,3,"")</f>
        <v>3</v>
      </c>
      <c r="C20" s="23">
        <f>IF(3&lt;=$D$6,_xlfn.BINOM.DIST(3,$D$6,$D$7,FALSE()),"")</f>
        <v>3.781169652938836E-6</v>
      </c>
      <c r="D20" s="23">
        <f>IF(3&lt;=$D$6,_xlfn.BINOM.DIST(3,$D$6,$D$7,TRUE()),"")</f>
        <v>4.2151659727096608E-6</v>
      </c>
    </row>
    <row r="21" spans="2:4" ht="18.75" customHeight="1" x14ac:dyDescent="0.25">
      <c r="B21" s="17">
        <f>IF(4&lt;=$D$6,4,"")</f>
        <v>4</v>
      </c>
      <c r="C21" s="23">
        <f>IF(4&lt;=$D$6,_xlfn.BINOM.DIST(4,$D$6,$D$7,FALSE()),"")</f>
        <v>2.5522895157337233E-5</v>
      </c>
      <c r="D21" s="23">
        <f>IF(4&lt;=$D$6,_xlfn.BINOM.DIST(4,$D$6,$D$7,TRUE()),"")</f>
        <v>2.9738061130046844E-5</v>
      </c>
    </row>
    <row r="22" spans="2:4" ht="18.75" customHeight="1" x14ac:dyDescent="0.25">
      <c r="B22" s="17">
        <f>IF(5&lt;=$D$6,5,"")</f>
        <v>5</v>
      </c>
      <c r="C22" s="23">
        <f>IF(5&lt;=$D$6,_xlfn.BINOM.DIST(5,$D$6,$D$7,FALSE()),"")</f>
        <v>1.3271905481815344E-4</v>
      </c>
      <c r="D22" s="23">
        <f>IF(5&lt;=$D$6,_xlfn.BINOM.DIST(5,$D$6,$D$7,TRUE()),"")</f>
        <v>1.6245711594820044E-4</v>
      </c>
    </row>
    <row r="23" spans="2:4" ht="18.75" customHeight="1" x14ac:dyDescent="0.25">
      <c r="B23" s="17">
        <f>IF(6&lt;=$D$6,6,"")</f>
        <v>6</v>
      </c>
      <c r="C23" s="23">
        <f>IF(6&lt;=$D$6,_xlfn.BINOM.DIST(6,$D$6,$D$7,FALSE()),"")</f>
        <v>5.5299606174230467E-4</v>
      </c>
      <c r="D23" s="23">
        <f>IF(6&lt;=$D$6,_xlfn.BINOM.DIST(6,$D$6,$D$7,TRUE()),"")</f>
        <v>7.1545317769050587E-4</v>
      </c>
    </row>
    <row r="24" spans="2:4" ht="18.75" customHeight="1" x14ac:dyDescent="0.25">
      <c r="B24" s="17">
        <f>IF(7&lt;=$D$6,7,"")</f>
        <v>7</v>
      </c>
      <c r="C24" s="23">
        <f>IF(7&lt;=$D$6,_xlfn.BINOM.DIST(7,$D$6,$D$7,FALSE()),"")</f>
        <v>1.8959864974021896E-3</v>
      </c>
      <c r="D24" s="23">
        <f>IF(7&lt;=$D$6,_xlfn.BINOM.DIST(7,$D$6,$D$7,TRUE()),"")</f>
        <v>2.611439675092698E-3</v>
      </c>
    </row>
    <row r="25" spans="2:4" ht="18.75" customHeight="1" x14ac:dyDescent="0.25">
      <c r="B25" s="17">
        <f>IF(8&lt;=$D$6,8,"")</f>
        <v>8</v>
      </c>
      <c r="C25" s="23">
        <f>IF(8&lt;=$D$6,_xlfn.BINOM.DIST(8,$D$6,$D$7,FALSE()),"")</f>
        <v>5.4509611800313048E-3</v>
      </c>
      <c r="D25" s="23">
        <f>IF(8&lt;=$D$6,_xlfn.BINOM.DIST(8,$D$6,$D$7,TRUE()),"")</f>
        <v>8.0624008551239985E-3</v>
      </c>
    </row>
    <row r="26" spans="2:4" ht="18.75" customHeight="1" x14ac:dyDescent="0.25">
      <c r="B26" s="17">
        <f>IF(9&lt;=$D$6,9,"")</f>
        <v>9</v>
      </c>
      <c r="C26" s="23">
        <f>IF(9&lt;=$D$6,_xlfn.BINOM.DIST(9,$D$6,$D$7,FALSE()),"")</f>
        <v>1.3324571773409849E-2</v>
      </c>
      <c r="D26" s="23">
        <f>IF(9&lt;=$D$6,_xlfn.BINOM.DIST(9,$D$6,$D$7,TRUE()),"")</f>
        <v>2.1386972628533851E-2</v>
      </c>
    </row>
    <row r="27" spans="2:4" ht="18.75" customHeight="1" x14ac:dyDescent="0.25">
      <c r="B27" s="17">
        <f>IF(10&lt;=$D$6,10,"")</f>
        <v>10</v>
      </c>
      <c r="C27" s="23">
        <f>IF(10&lt;=$D$6,_xlfn.BINOM.DIST(10,$D$6,$D$7,FALSE()),"")</f>
        <v>2.7981600724160692E-2</v>
      </c>
      <c r="D27" s="23">
        <f>IF(10&lt;=$D$6,_xlfn.BINOM.DIST(10,$D$6,$D$7,TRUE()),"")</f>
        <v>4.9368573352694511E-2</v>
      </c>
    </row>
    <row r="28" spans="2:4" ht="18.75" customHeight="1" x14ac:dyDescent="0.25">
      <c r="B28" s="17">
        <f>IF(11&lt;=$D$6,11,"")</f>
        <v>11</v>
      </c>
      <c r="C28" s="23">
        <f>IF(11&lt;=$D$6,_xlfn.BINOM.DIST(11,$D$6,$D$7,FALSE()),"")</f>
        <v>5.0875637680292116E-2</v>
      </c>
      <c r="D28" s="23">
        <f>IF(11&lt;=$D$6,_xlfn.BINOM.DIST(11,$D$6,$D$7,TRUE()),"")</f>
        <v>0.10024421103298661</v>
      </c>
    </row>
    <row r="29" spans="2:4" ht="18.75" customHeight="1" x14ac:dyDescent="0.25">
      <c r="B29" s="17">
        <f>IF(12&lt;=$D$6,12,"")</f>
        <v>12</v>
      </c>
      <c r="C29" s="23">
        <f>IF(12&lt;=$D$6,_xlfn.BINOM.DIST(12,$D$6,$D$7,FALSE()),"")</f>
        <v>8.0553092993795886E-2</v>
      </c>
      <c r="D29" s="23">
        <f>IF(12&lt;=$D$6,_xlfn.BINOM.DIST(12,$D$6,$D$7,TRUE()),"")</f>
        <v>0.18079730402678254</v>
      </c>
    </row>
    <row r="30" spans="2:4" ht="18.75" customHeight="1" x14ac:dyDescent="0.25">
      <c r="B30" s="17">
        <f>IF(13&lt;=$D$6,13,"")</f>
        <v>13</v>
      </c>
      <c r="C30" s="23">
        <f>IF(13&lt;=$D$6,_xlfn.BINOM.DIST(13,$D$6,$D$7,FALSE()),"")</f>
        <v>0.1115350518375635</v>
      </c>
      <c r="D30" s="23">
        <f>IF(13&lt;=$D$6,_xlfn.BINOM.DIST(13,$D$6,$D$7,TRUE()),"")</f>
        <v>0.29233235586434619</v>
      </c>
    </row>
    <row r="31" spans="2:4" ht="18.75" customHeight="1" x14ac:dyDescent="0.25">
      <c r="B31" s="17">
        <f>IF(14&lt;=$D$6,14,"")</f>
        <v>14</v>
      </c>
      <c r="C31" s="23">
        <f>IF(14&lt;=$D$6,_xlfn.BINOM.DIST(14,$D$6,$D$7,FALSE()),"")</f>
        <v>0.13543542008847004</v>
      </c>
      <c r="D31" s="23">
        <f>IF(14&lt;=$D$6,_xlfn.BINOM.DIST(14,$D$6,$D$7,TRUE()),"")</f>
        <v>0.42776777595281623</v>
      </c>
    </row>
    <row r="32" spans="2:4" ht="18.75" customHeight="1" x14ac:dyDescent="0.25">
      <c r="B32" s="17">
        <f>IF(15&lt;=$D$6,15,"")</f>
        <v>15</v>
      </c>
      <c r="C32" s="23">
        <f>IF(15&lt;=$D$6,_xlfn.BINOM.DIST(15,$D$6,$D$7,FALSE()),"")</f>
        <v>0.14446444809436798</v>
      </c>
      <c r="D32" s="23">
        <f>IF(15&lt;=$D$6,_xlfn.BINOM.DIST(15,$D$6,$D$7,TRUE()),"")</f>
        <v>0.57223222404718377</v>
      </c>
    </row>
    <row r="33" spans="2:4" ht="18.75" customHeight="1" x14ac:dyDescent="0.25">
      <c r="B33" s="17">
        <f>IF(16&lt;=$D$6,16,"")</f>
        <v>16</v>
      </c>
      <c r="C33" s="23">
        <f>IF(16&lt;=$D$6,_xlfn.BINOM.DIST(16,$D$6,$D$7,FALSE()),"")</f>
        <v>0.13543542008847004</v>
      </c>
      <c r="D33" s="23">
        <f>IF(16&lt;=$D$6,_xlfn.BINOM.DIST(16,$D$6,$D$7,TRUE()),"")</f>
        <v>0.70766764413565375</v>
      </c>
    </row>
    <row r="34" spans="2:4" ht="18.75" customHeight="1" x14ac:dyDescent="0.25">
      <c r="B34" s="17">
        <f>IF(17&lt;=$D$6,17,"")</f>
        <v>17</v>
      </c>
      <c r="C34" s="23">
        <f>IF(17&lt;=$D$6,_xlfn.BINOM.DIST(17,$D$6,$D$7,FALSE()),"")</f>
        <v>0.1115350518375635</v>
      </c>
      <c r="D34" s="23">
        <f>IF(17&lt;=$D$6,_xlfn.BINOM.DIST(17,$D$6,$D$7,TRUE()),"")</f>
        <v>0.81920269597321749</v>
      </c>
    </row>
    <row r="35" spans="2:4" ht="18.75" customHeight="1" x14ac:dyDescent="0.25">
      <c r="B35" s="17">
        <f>IF(18&lt;=$D$6,18,"")</f>
        <v>18</v>
      </c>
      <c r="C35" s="23">
        <f>IF(18&lt;=$D$6,_xlfn.BINOM.DIST(18,$D$6,$D$7,FALSE()),"")</f>
        <v>8.0553092993795886E-2</v>
      </c>
      <c r="D35" s="23">
        <f>IF(18&lt;=$D$6,_xlfn.BINOM.DIST(18,$D$6,$D$7,TRUE()),"")</f>
        <v>0.89975578896701336</v>
      </c>
    </row>
    <row r="36" spans="2:4" ht="18.75" customHeight="1" x14ac:dyDescent="0.25">
      <c r="B36" s="17">
        <f>IF(19&lt;=$D$6,19,"")</f>
        <v>19</v>
      </c>
      <c r="C36" s="23">
        <f>IF(19&lt;=$D$6,_xlfn.BINOM.DIST(19,$D$6,$D$7,FALSE()),"")</f>
        <v>5.0875637680292116E-2</v>
      </c>
      <c r="D36" s="23">
        <f>IF(19&lt;=$D$6,_xlfn.BINOM.DIST(19,$D$6,$D$7,TRUE()),"")</f>
        <v>0.95063142664730549</v>
      </c>
    </row>
    <row r="37" spans="2:4" ht="18.75" customHeight="1" x14ac:dyDescent="0.25">
      <c r="B37" s="17">
        <f>IF(20&lt;=$D$6,20,"")</f>
        <v>20</v>
      </c>
      <c r="C37" s="23">
        <f>IF(20&lt;=$D$6,_xlfn.BINOM.DIST(20,$D$6,$D$7,FALSE()),"")</f>
        <v>2.7981600724160689E-2</v>
      </c>
      <c r="D37" s="23">
        <f>IF(20&lt;=$D$6,_xlfn.BINOM.DIST(20,$D$6,$D$7,TRUE()),"")</f>
        <v>0.97861302737146616</v>
      </c>
    </row>
    <row r="38" spans="2:4" ht="18.75" customHeight="1" x14ac:dyDescent="0.25">
      <c r="B38" s="17">
        <f>IF(21&lt;=$D$6,21,"")</f>
        <v>21</v>
      </c>
      <c r="C38" s="23">
        <f>IF(21&lt;=$D$6,_xlfn.BINOM.DIST(21,$D$6,$D$7,FALSE()),"")</f>
        <v>1.3324571773409843E-2</v>
      </c>
      <c r="D38" s="23">
        <f>IF(21&lt;=$D$6,_xlfn.BINOM.DIST(21,$D$6,$D$7,TRUE()),"")</f>
        <v>0.991937599144876</v>
      </c>
    </row>
    <row r="39" spans="2:4" ht="18.75" customHeight="1" x14ac:dyDescent="0.25">
      <c r="B39" s="17">
        <f>IF(22&lt;=$D$6,22,"")</f>
        <v>22</v>
      </c>
      <c r="C39" s="23">
        <f>IF(22&lt;=$D$6,_xlfn.BINOM.DIST(22,$D$6,$D$7,FALSE()),"")</f>
        <v>5.4509611800313022E-3</v>
      </c>
      <c r="D39" s="23">
        <f>IF(22&lt;=$D$6,_xlfn.BINOM.DIST(22,$D$6,$D$7,TRUE()),"")</f>
        <v>0.9973885603249073</v>
      </c>
    </row>
    <row r="40" spans="2:4" ht="18.75" customHeight="1" x14ac:dyDescent="0.25">
      <c r="B40" s="17">
        <f>IF(23&lt;=$D$6,23,"")</f>
        <v>23</v>
      </c>
      <c r="C40" s="23">
        <f>IF(23&lt;=$D$6,_xlfn.BINOM.DIST(23,$D$6,$D$7,FALSE()),"")</f>
        <v>1.8959864974021896E-3</v>
      </c>
      <c r="D40" s="23">
        <f>IF(23&lt;=$D$6,_xlfn.BINOM.DIST(23,$D$6,$D$7,TRUE()),"")</f>
        <v>0.99928454682230949</v>
      </c>
    </row>
    <row r="41" spans="2:4" ht="18.75" customHeight="1" x14ac:dyDescent="0.25">
      <c r="B41" s="17">
        <f>IF(24&lt;=$D$6,24,"")</f>
        <v>24</v>
      </c>
      <c r="C41" s="23">
        <f>IF(24&lt;=$D$6,_xlfn.BINOM.DIST(24,$D$6,$D$7,FALSE()),"")</f>
        <v>5.5299606174230467E-4</v>
      </c>
      <c r="D41" s="23">
        <f>IF(24&lt;=$D$6,_xlfn.BINOM.DIST(24,$D$6,$D$7,TRUE()),"")</f>
        <v>0.9998375428840518</v>
      </c>
    </row>
    <row r="42" spans="2:4" ht="18.75" customHeight="1" x14ac:dyDescent="0.25">
      <c r="B42" s="17">
        <f>IF(25&lt;=$D$6,25,"")</f>
        <v>25</v>
      </c>
      <c r="C42" s="23">
        <f>IF(25&lt;=$D$6,_xlfn.BINOM.DIST(25,$D$6,$D$7,FALSE()),"")</f>
        <v>1.3271905481815344E-4</v>
      </c>
      <c r="D42" s="23">
        <f>IF(25&lt;=$D$6,_xlfn.BINOM.DIST(25,$D$6,$D$7,TRUE()),"")</f>
        <v>0.99997026193886995</v>
      </c>
    </row>
    <row r="43" spans="2:4" ht="18.75" customHeight="1" x14ac:dyDescent="0.25">
      <c r="B43" s="17">
        <f>IF(26&lt;=$D$6,26,"")</f>
        <v>26</v>
      </c>
      <c r="C43" s="23">
        <f>IF(26&lt;=$D$6,_xlfn.BINOM.DIST(26,$D$6,$D$7,FALSE()),"")</f>
        <v>2.5522895157337233E-5</v>
      </c>
      <c r="D43" s="23">
        <f>IF(26&lt;=$D$6,_xlfn.BINOM.DIST(26,$D$6,$D$7,TRUE()),"")</f>
        <v>0.99999578483402729</v>
      </c>
    </row>
    <row r="44" spans="2:4" ht="18.75" customHeight="1" x14ac:dyDescent="0.25">
      <c r="B44" s="17">
        <f>IF(27&lt;=$D$6,27,"")</f>
        <v>27</v>
      </c>
      <c r="C44" s="23">
        <f>IF(27&lt;=$D$6,_xlfn.BINOM.DIST(27,$D$6,$D$7,FALSE()),"")</f>
        <v>3.781169652938836E-6</v>
      </c>
      <c r="D44" s="23">
        <f>IF(27&lt;=$D$6,_xlfn.BINOM.DIST(27,$D$6,$D$7,TRUE()),"")</f>
        <v>0.99999956600368023</v>
      </c>
    </row>
    <row r="45" spans="2:4" ht="18.75" customHeight="1" x14ac:dyDescent="0.25">
      <c r="B45" s="17">
        <f>IF(28&lt;=$D$6,28,"")</f>
        <v>28</v>
      </c>
      <c r="C45" s="23">
        <f>IF(28&lt;=$D$6,_xlfn.BINOM.DIST(28,$D$6,$D$7,FALSE()),"")</f>
        <v>4.0512531995773411E-7</v>
      </c>
      <c r="D45" s="23">
        <f>IF(28&lt;=$D$6,_xlfn.BINOM.DIST(28,$D$6,$D$7,TRUE()),"")</f>
        <v>0.99999997112900019</v>
      </c>
    </row>
    <row r="46" spans="2:4" ht="18.75" customHeight="1" x14ac:dyDescent="0.25">
      <c r="B46" s="17">
        <f>IF(29&lt;=$D$6,29,"")</f>
        <v>29</v>
      </c>
      <c r="C46" s="23">
        <f>IF(29&lt;=$D$6,_xlfn.BINOM.DIST(29,$D$6,$D$7,FALSE()),"")</f>
        <v>2.7939677238464359E-8</v>
      </c>
      <c r="D46" s="23">
        <f>IF(29&lt;=$D$6,_xlfn.BINOM.DIST(29,$D$6,$D$7,TRUE()),"")</f>
        <v>0.99999999906867743</v>
      </c>
    </row>
    <row r="47" spans="2:4" ht="18.75" customHeight="1" x14ac:dyDescent="0.25">
      <c r="B47" s="17">
        <f>IF(30&lt;=$D$6,30,"")</f>
        <v>30</v>
      </c>
      <c r="C47" s="23">
        <f>IF(30&lt;=$D$6,_xlfn.BINOM.DIST(30,$D$6,$D$7,FALSE()),"")</f>
        <v>9.3132257461547934E-10</v>
      </c>
      <c r="D47" s="23">
        <f>IF(30&lt;=$D$6,_xlfn.BINOM.DIST(30,$D$6,$D$7,TRUE()),"")</f>
        <v>1</v>
      </c>
    </row>
    <row r="48" spans="2:4" ht="18.75" customHeight="1" x14ac:dyDescent="0.25"/>
    <row r="49" spans="2:5" ht="18.75" customHeight="1" x14ac:dyDescent="0.25">
      <c r="B49" s="7" t="s">
        <v>72</v>
      </c>
    </row>
    <row r="50" spans="2:5" ht="18.75" customHeight="1" x14ac:dyDescent="0.25">
      <c r="B50" s="33" t="s">
        <v>152</v>
      </c>
      <c r="C50" s="33"/>
      <c r="D50" s="33"/>
      <c r="E50" s="33"/>
    </row>
    <row r="51" spans="2:5" ht="18.75" customHeight="1" x14ac:dyDescent="0.25">
      <c r="B51" s="33" t="s">
        <v>153</v>
      </c>
      <c r="C51" s="33"/>
      <c r="D51" s="33"/>
      <c r="E51" s="33"/>
    </row>
    <row r="52" spans="2:5" ht="18.75" customHeight="1" x14ac:dyDescent="0.25">
      <c r="B52" s="33" t="s">
        <v>154</v>
      </c>
      <c r="C52" s="33"/>
      <c r="D52" s="33"/>
      <c r="E52" s="33"/>
    </row>
    <row r="53" spans="2:5" ht="18.75" customHeight="1" x14ac:dyDescent="0.25">
      <c r="B53" s="33" t="s">
        <v>77</v>
      </c>
      <c r="C53" s="33"/>
      <c r="D53" s="33"/>
      <c r="E53" s="33"/>
    </row>
    <row r="54" spans="2:5" ht="18.75" customHeight="1" x14ac:dyDescent="0.25"/>
    <row r="55" spans="2:5" ht="18.75" customHeight="1" x14ac:dyDescent="0.25"/>
    <row r="56" spans="2:5" ht="18.75" customHeight="1" x14ac:dyDescent="0.25"/>
    <row r="57" spans="2:5" ht="18.75" customHeight="1" x14ac:dyDescent="0.25"/>
    <row r="58" spans="2:5" ht="18.75" customHeight="1" x14ac:dyDescent="0.25"/>
    <row r="59" spans="2:5" ht="18.75" customHeight="1" x14ac:dyDescent="0.25"/>
  </sheetData>
  <mergeCells count="4">
    <mergeCell ref="B50:E50"/>
    <mergeCell ref="B51:E51"/>
    <mergeCell ref="B52:E52"/>
    <mergeCell ref="B53:E53"/>
  </mergeCells>
  <phoneticPr fontId="11"/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はじめに</vt:lpstr>
      <vt:lpstr>練習1 期待値・分散</vt:lpstr>
      <vt:lpstr>練習2 二項分布</vt:lpstr>
      <vt:lpstr>練習3 正規分布</vt:lpstr>
      <vt:lpstr>標準正規分布表</vt:lpstr>
      <vt:lpstr>正規分布シミュレーター</vt:lpstr>
      <vt:lpstr>二項分布シミュレーター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2026-05-06T02:07:21Z</dcterms:created>
  <dcterms:modified xsi:type="dcterms:W3CDTF">2026-05-10T04:10:24Z</dcterms:modified>
  <dc:language>en-US</dc:language>
</cp:coreProperties>
</file>